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https://druskininkai-my.sharepoint.com/personal/jolanta_kavaliauskiene_druskininkai_lt/Documents/Darbalaukis/VIESIEJI PIRKIMAI/2022/2 - DARBAI/8 - Kelių gatvių remonto darbai/Laimetojo pasiulymas susipazinimui/"/>
    </mc:Choice>
  </mc:AlternateContent>
  <xr:revisionPtr revIDLastSave="0" documentId="8_{F0A3C3BF-B8D0-4BA7-8551-C0B7A97ED5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liminarūs kiekiai" sheetId="8" r:id="rId1"/>
    <sheet name="Lapas1" sheetId="9" r:id="rId2"/>
    <sheet name="tyr.pasl." sheetId="3" state="hidden" r:id="rId3"/>
    <sheet name="proj.pasl." sheetId="4" state="hidden" r:id="rId4"/>
    <sheet name="viso" sheetId="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8" l="1"/>
  <c r="F13" i="8"/>
  <c r="F14" i="8"/>
  <c r="F16" i="8"/>
  <c r="F17" i="8"/>
  <c r="F18" i="8"/>
  <c r="F21" i="8"/>
  <c r="F25" i="8"/>
  <c r="F27" i="8"/>
  <c r="F28" i="8"/>
  <c r="F29" i="8"/>
  <c r="F30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52" i="8"/>
  <c r="F53" i="8"/>
  <c r="F54" i="8"/>
  <c r="F55" i="8"/>
  <c r="F56" i="8"/>
  <c r="F57" i="8"/>
  <c r="F58" i="8"/>
  <c r="F59" i="8"/>
  <c r="F61" i="8"/>
  <c r="F62" i="8"/>
  <c r="F66" i="8"/>
  <c r="F67" i="8"/>
  <c r="F68" i="8"/>
  <c r="F70" i="8"/>
  <c r="F72" i="8"/>
  <c r="F73" i="8"/>
  <c r="F74" i="8"/>
  <c r="F75" i="8"/>
  <c r="F76" i="8"/>
  <c r="F77" i="8"/>
  <c r="F78" i="8"/>
  <c r="F81" i="8"/>
  <c r="F82" i="8"/>
  <c r="F83" i="8"/>
  <c r="F84" i="8"/>
  <c r="F85" i="8"/>
  <c r="F86" i="8"/>
  <c r="F91" i="8"/>
  <c r="F92" i="8"/>
  <c r="F93" i="8"/>
  <c r="F94" i="8"/>
  <c r="F95" i="8"/>
  <c r="F97" i="8"/>
  <c r="F98" i="8"/>
  <c r="F100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6" i="8"/>
  <c r="F117" i="8"/>
  <c r="F118" i="8"/>
  <c r="F119" i="8"/>
  <c r="F120" i="8"/>
  <c r="F121" i="8"/>
  <c r="F6" i="8"/>
  <c r="D115" i="8"/>
  <c r="F115" i="8" s="1"/>
  <c r="D102" i="8"/>
  <c r="D101" i="8"/>
  <c r="F101" i="8" s="1"/>
  <c r="D99" i="8"/>
  <c r="F99" i="8" s="1"/>
  <c r="D98" i="8"/>
  <c r="D97" i="8"/>
  <c r="D96" i="8"/>
  <c r="F96" i="8" s="1"/>
  <c r="D92" i="8"/>
  <c r="D90" i="8"/>
  <c r="F90" i="8" s="1"/>
  <c r="D89" i="8"/>
  <c r="F89" i="8" s="1"/>
  <c r="D88" i="8"/>
  <c r="F88" i="8" s="1"/>
  <c r="D87" i="8"/>
  <c r="F87" i="8" s="1"/>
  <c r="D86" i="8"/>
  <c r="D85" i="8"/>
  <c r="D84" i="8"/>
  <c r="D80" i="8"/>
  <c r="F80" i="8" s="1"/>
  <c r="D79" i="8"/>
  <c r="F79" i="8" s="1"/>
  <c r="D71" i="8"/>
  <c r="F71" i="8" s="1"/>
  <c r="D70" i="8"/>
  <c r="D69" i="8"/>
  <c r="F69" i="8" s="1"/>
  <c r="D68" i="8"/>
  <c r="D67" i="8"/>
  <c r="D66" i="8"/>
  <c r="D65" i="8"/>
  <c r="F65" i="8" s="1"/>
  <c r="D64" i="8"/>
  <c r="F64" i="8" s="1"/>
  <c r="D63" i="8"/>
  <c r="F63" i="8" s="1"/>
  <c r="D62" i="8"/>
  <c r="D60" i="8"/>
  <c r="F60" i="8" s="1"/>
  <c r="D58" i="8"/>
  <c r="D57" i="8"/>
  <c r="D53" i="8"/>
  <c r="D52" i="8"/>
  <c r="D51" i="8"/>
  <c r="F51" i="8" s="1"/>
  <c r="D50" i="8"/>
  <c r="F50" i="8" s="1"/>
  <c r="D49" i="8"/>
  <c r="F49" i="8" s="1"/>
  <c r="D48" i="8"/>
  <c r="F48" i="8" s="1"/>
  <c r="D46" i="8"/>
  <c r="D45" i="8"/>
  <c r="D38" i="8"/>
  <c r="D37" i="8"/>
  <c r="D33" i="8"/>
  <c r="F33" i="8" s="1"/>
  <c r="D32" i="8"/>
  <c r="F32" i="8" s="1"/>
  <c r="D31" i="8"/>
  <c r="F31" i="8" s="1"/>
  <c r="D26" i="8"/>
  <c r="F26" i="8" s="1"/>
  <c r="D25" i="8"/>
  <c r="D24" i="8"/>
  <c r="F24" i="8" s="1"/>
  <c r="D23" i="8"/>
  <c r="F23" i="8" s="1"/>
  <c r="D22" i="8"/>
  <c r="F22" i="8" s="1"/>
  <c r="D21" i="8"/>
  <c r="D20" i="8"/>
  <c r="F20" i="8" s="1"/>
  <c r="D19" i="8"/>
  <c r="F19" i="8" s="1"/>
  <c r="D15" i="8"/>
  <c r="F15" i="8" s="1"/>
  <c r="D12" i="8"/>
  <c r="F12" i="8" s="1"/>
  <c r="D11" i="8"/>
  <c r="F11" i="8" s="1"/>
  <c r="D10" i="8"/>
  <c r="F10" i="8" s="1"/>
  <c r="D8" i="8"/>
  <c r="F8" i="8" s="1"/>
  <c r="D7" i="8"/>
  <c r="F7" i="8" s="1"/>
  <c r="F122" i="8" l="1"/>
  <c r="F123" i="8" s="1"/>
  <c r="F124" i="8" l="1"/>
</calcChain>
</file>

<file path=xl/sharedStrings.xml><?xml version="1.0" encoding="utf-8"?>
<sst xmlns="http://schemas.openxmlformats.org/spreadsheetml/2006/main" count="244" uniqueCount="137">
  <si>
    <t>Asfaltbetonio dangos frezavimas h=50 mm, asfalto trupinius paskleidžiant vietoje</t>
  </si>
  <si>
    <t>Asfaltbetonio dangos frezavimas h=70 mm, asfalto trupinius paskleidžiant vietoje</t>
  </si>
  <si>
    <t>m</t>
  </si>
  <si>
    <t>t</t>
  </si>
  <si>
    <t>Asfalto pagrindo - dangos sluoksnio h=6 cm iš AC 16 PD asfaltbetonio mišinio įrengimas</t>
  </si>
  <si>
    <t>Asfalto pagrindo - dangos sluoksnio h=0,5 cm storio pokyčio iš AC 16 PD asfaltbetonio mišinio įrengimas (kiekvienam h=0,5 cm storio sluoksnio pasikeitimui prie poz. 18 pridėti arba atimti), k4=...</t>
  </si>
  <si>
    <t>Inžinerinių tinklų šulinio paaukštinimas atraminiais h= 50 mm  g/b žiedais</t>
  </si>
  <si>
    <t>vnt.</t>
  </si>
  <si>
    <t>Inžinerinių tinklų šulinio paaukštinimas atraminiais h= 150 mm g/b žiedais</t>
  </si>
  <si>
    <t>Inžinerinių tinklų šulinio paaukštinimas atraminiais h= 300 mm g/b žiedais</t>
  </si>
  <si>
    <t>Kelio bortų (tiesių gatvės bordiūrų) 150x300x1000 mm įrengimas ant 20 cm storio pamato su atspara iš C12/15 markės betono</t>
  </si>
  <si>
    <t>Lenktų 150x300x1000 mm, įvažiavimams skirtų 150x220x1000 mm kelio bortų (gatvės bordiūrų) įrengimas ant 20 cm storio pamato su atspara iš C12/15markės  betono</t>
  </si>
  <si>
    <t>Vejos bortų (tiesių vejos bordiūrų) 80x200x1000 mm įrengimas ant pamato su atspara iš C12/15 markės betono</t>
  </si>
  <si>
    <t>Betoninių dangų (betoninių trinkelių, šaligatvio plytelių, ažūrinių plytelių ir kt., sudėtų ant smėlio, smėlio-žvyro mišinio, atsijų ar pan. pagrindo) išardymas</t>
  </si>
  <si>
    <t>Žemės darbai (I-IV grupės grunto kasimas ir supylimas į sankasą arba perstūmimas iki 10 m atstumu)</t>
  </si>
  <si>
    <t>Kiekvieniems sekantiems 10 m, perstumiant gruntą, prie poz. 41 pridėti, k4=…..</t>
  </si>
  <si>
    <t>I-IV grupės grunto transportavimas a/m savivarčiais 5 km atstumu, pakraunant mechanizuotu būdu</t>
  </si>
  <si>
    <t>Transportuojant gruntą už kiekvieną papildomą kilometrą (1 km) prie poz. 43 pridėti, k4=…..</t>
  </si>
  <si>
    <t>Tranšėjų inžineriniams tinklams, pralaidoms kasimas rankiniu būdu iki 2 m pločio ir iki 2 m gylio nesutvirtintose tranšėjose ir iki 1,5 m gylio duobių kasimas</t>
  </si>
  <si>
    <t>Tranšėjų, iškasų ir duobių užpylimas gruntu rankiniu būdu</t>
  </si>
  <si>
    <t>Tranšėjų inžineriniams tinklams, pralaidoms iki 2 m pločio ir iki 2 m gylio kasimas mechanizuotu būdu</t>
  </si>
  <si>
    <t>Tranšėjų užpylimas mechanizuotu būdu</t>
  </si>
  <si>
    <t>Pagrindų išlyginamųjų, paruošiamųjų ir šalčiui atsparių sluoksnių iš smėlio įrengimas</t>
  </si>
  <si>
    <t>Smėlio-žvyro pagrindo h=12 cm įrengimas</t>
  </si>
  <si>
    <t>Smėlio-žvyro pagrindo h=1 cm pokytis (prie poz. 54 pridėti arba atimti), k4=…..</t>
  </si>
  <si>
    <t>Skaldos pagrindo h=15 cm įrengimas</t>
  </si>
  <si>
    <t>Skaldos pagrindo h=1 cm pokytis (prie poz. 56 pridėti arba atimti), k4=…..</t>
  </si>
  <si>
    <t>Pakloto iš atsijų pasluoksnio h=3 cm įrengimas</t>
  </si>
  <si>
    <t>Pakloto iš atsijų pasluoksnio h=0,5 cm pokytis (prie poz. 60 pridėti arba atimti), k4=…..</t>
  </si>
  <si>
    <t>Betoninių (C 30/37 klasės; F200; W6) konstrukcijų (pamatų, latakų, laiptų, plokščių, blokų, atraminių sienučių, pagrindų, perdengimų ir kt.) įrengimas, įrengiant klojinius iš lentų ir/arba klojinių</t>
  </si>
  <si>
    <t>Betoninių konstrukcijų armavimas lygios ir/ar rifliuotos armatūros tinklais</t>
  </si>
  <si>
    <t>Dangos iš grindinio trinkelių (200x100 mm) h=6 cm įrengimas</t>
  </si>
  <si>
    <t>Dangos iš kitų spalvų (juodos, raudonos, geltonos, rudos, žalios, šviesiai rudos ir rausvos, rudai-raudonai-juodos, rudai juodos, geltonai rudos, pilkai juodos, rudai raudonos ir kitų spalvų) grindinio trinkelių (200x100 mm) h=6 cm įrengimas</t>
  </si>
  <si>
    <t>Dangos iš grindinio trinkelių (200x100 mm) h=8 cm įrengimas</t>
  </si>
  <si>
    <t>Dangos iš kitų spalvų (juodos, raudonos, geltonos, rudos, žalios, šviesiai rudos ir rausvos, rudai-raudonai-juodos, rudai juodos, geltonai rudos, pilkai juodos, rudai raudonos ir kitų spalvų) grindinio trinkelių (200x100 mm) h=8 cm įrengimas</t>
  </si>
  <si>
    <t>Gazonų įrengimas (augalinio grunto h=5 cm užpylimas, volavimas) ir apsėjimas žole</t>
  </si>
  <si>
    <t>Gazonų įrengimas (augalinio grunto h=10 cm užpylimas, volavimas) ir apsėjimas žole</t>
  </si>
  <si>
    <t>Gazonų taisymas sufrezuojant esamą velėną, užpilant h=5 cm augalinio grunto, voluojant ir apsėjant žole</t>
  </si>
  <si>
    <t>Supilto I-IV kategorijos grunto sutankinimas, palaistant vandeniu</t>
  </si>
  <si>
    <t>Plastikinių kevalų elektros kabelių apsaugai montavimas</t>
  </si>
  <si>
    <t>Lauko nuotekų tinklų įrengimas iš PVC vamzdžių d=110 mm (be žemės darbų)</t>
  </si>
  <si>
    <t>Lauko nuotekų tinklų įrengimas iš PVC vamzdžių d=160 mm (be žemės darbų)</t>
  </si>
  <si>
    <t>Lauko nuotekų tinklų įrengimas iš PVC vamzdžių d=200 mm (be žemės darbų)</t>
  </si>
  <si>
    <t>Lauko nuotekų tinklų įrengimas iš PVC vamzdžių d=250 mm (be žemės darbų)</t>
  </si>
  <si>
    <t>Lauko nuotekų tinklų įrengimas iš PVC vamzdžių d=315 mm (be žemės darbų)</t>
  </si>
  <si>
    <t>Pralaidų Ø iki 300 mm įrengimas, iš PE ir gofruotų plastikinių vamzdžių (be antgalių ir žemės darbų)</t>
  </si>
  <si>
    <t>Pralaidų Ø iki 500 mm įrengimas, iš PE ir gofruotų plastikinių vamzdžių (be antgalių ir žemės darbų)</t>
  </si>
  <si>
    <t>Pralaidų Ø 500 mm ir daugiau įrengimas, iš PE ir gofruotų plastikinių vamzdžių (be antgalių ir žemės darbų)</t>
  </si>
  <si>
    <t>Įrengtai plastikinei pralaidai, betoninio antgalio (PA tipo ir panašaus, kurio storis nemažiau kaip 80 mm) įrengimas,  tarpą tarp vamzdžio ir antgalio užmonolitinant betonu C12/15</t>
  </si>
  <si>
    <t>Gelžbetoninių lietaus kanalizacijos šulinių (su g/b dugnu ir dangčiu su d=700 mm anga) Ø iki 1000 mm montavimas</t>
  </si>
  <si>
    <t>Gelžbetoninių lietaus kanalizacijos šulinių (su g/b dugnu ir dangčiu su d=700 mm anga) Ø nuo 1000 iki 2000 mm ir daugiau montavimas</t>
  </si>
  <si>
    <t>Gelžbetoninių d=500, d=700 mm lietaus vandens surinkėjų (šulinių) su dugnu ir be dangčių (trapų) pastatymas</t>
  </si>
  <si>
    <t>Plastmasinio lietaus kanalizacijos šulinio 315 mm skersmens su ketaus grotelėmis montavimas</t>
  </si>
  <si>
    <t>Plastmasinio lietaus kanalizacijos šulinio 425 mm skersmens su ketaus grotelėmis montavimas</t>
  </si>
  <si>
    <t>Kanalizacijos tinklų pajungimas į veikiančius tinklus (tik naujai paklotiems tinklams)</t>
  </si>
  <si>
    <t>Dujų ir priešgaisrinio vandentiekio įrenginių  Ø iki 700 mm pakėlimas į reikiamą aukštį (atraminiu žiedu)</t>
  </si>
  <si>
    <t>Kanalizacijos šulinių ketaus dangčių (sunkiųjų liukų atlaikančių ne mažiau kaip 40 t svorį) „Plaukiojančio tipo“ pastatymas</t>
  </si>
  <si>
    <t>Kanalizacijos šulinių ketaus dangčių (lengvųjų liukų atlaikančių ne mažiau kaip 12,5 t svorį) pastatymas</t>
  </si>
  <si>
    <t>Lietaus vandens surinkimo šulinių apskritimo formos dangčių (trapų, grotelių atlaikančių iki 40 t svorį) pastatymas</t>
  </si>
  <si>
    <t>Lietaus vandens surinkimo šulinių stačiakampio formos dangčių (montuojamų į gatvės bordiūrą) pastatymas</t>
  </si>
  <si>
    <t>Inžinerinių tinklų liuko demontavimas</t>
  </si>
  <si>
    <t>Tiesiamų, rekonstruojamų ir kapitaliai remontuojamų kelių, gatvių, takų ir a/m parkavimo aikštelių dangų važiuojamosios dalies ženklinimas dažais mechanizuotu būdu</t>
  </si>
  <si>
    <t>Tiesiamų, rekonstruojamų ir kapitaliai remontuojamų kelių, gatvių, takų ir a/m parkavimo aikštelių dangų važiuojamosios dalies ženklinimo elementų (rodyklių STOP linijų, salelių, pėsčiųjų perėjų ir kt.) ženklinimas dažais rankiniu būdu</t>
  </si>
  <si>
    <t>Tiesiamų, rekonstruojamų ir kapitaliai remontuojamų kelių, gatvių, takų ir a/m parkavimo aikštelių dangų važiuojamosios dalies ženklinimas baltos spalvos termoplastu</t>
  </si>
  <si>
    <t>Kelio, gatvės, tako, šaligatvio ar automobilių stovėjimo aikštelės ašių nužymėjimas (tik naujai statomiems, rekonstruojamiems ir kapitaliai remontuojamiems statiniams)</t>
  </si>
  <si>
    <t>Iškilios greičio mažinimo priemonės (greičio mažinimo kalnelio, iškilios pėsčiųjų perėjos, iškilios sankryžos), h=8-12 cm įrengimas iš   asfaltbetonio mišinio</t>
  </si>
  <si>
    <t>Apsauginių atitvarų sistemos įrengimas pagal Automobilių kelių transporto priemonių apsauginių atitvarų sistemų projektavimo taisykles KPT TAS 09</t>
  </si>
  <si>
    <t>Požeminių komunikacijų žymėjimo ženklų įrengimas pastatant metalinį stulpelį</t>
  </si>
  <si>
    <t>Naudotų liekamųjų statybinių medžiagų (demontuotų betono, gelžbetonio, mūro, metalo, medienos, akmens ir kompozitinių medžiagų  ir/ar gaminių; frezuoto asfalto granulių ir atliekų; frakcijuotos ir nefrakcijuotos skaldos ir pan.) pakrovimas ir išvežimas iš statybvietės 5 km atstumu</t>
  </si>
  <si>
    <t>Naudotų liekamųjų statybinių medžiagų išvežimo 1 km atstumu pokytis (prie poz. 119 pridėti arba atimti), k4=…..</t>
  </si>
  <si>
    <t>Antriniam panaudojimui tinkamų medžiagų (frezuoto asfalto granulių; malto (trupinto) betono skaldos ir pan.) pakrovimas mechanizuotu būdu ir pervežimas 5 km atstumu</t>
  </si>
  <si>
    <t>Antriniam panaudojimui tinkamų medžiagų pervežimo 1 km atstumu pokytis (prie poz. 121 pridėti arba atimti), k4=…..</t>
  </si>
  <si>
    <t>Šlaitų, žemės sankasos viršaus planiravimas mechanizuotu būdu</t>
  </si>
  <si>
    <t>Šlaitų, žemės sankasos viršaus planiravimas rankiniu būdu</t>
  </si>
  <si>
    <t>Krūmų ir smulkaus miško naikinimas, kai krūmai vidutinio tankumo</t>
  </si>
  <si>
    <t>ha</t>
  </si>
  <si>
    <t>Minkštų veislių medžių iki 32 cm. storio kirtimas, ištraukimas iki 300 m. ir medienos paruošimas</t>
  </si>
  <si>
    <t>Minkštų veislių medžių iki 40 cm. skersmens kelmų rovimas, duobių užlyginimas ir kelmų išvežimas 3 km. atstumu</t>
  </si>
  <si>
    <t>Dirvos paruošimas gazonams mechanizuotu būdu II grupės grunte, užpilant iki 15 cm. storio esamo augalinio grunto ir užsėjimas rankiniu būdu</t>
  </si>
  <si>
    <t>Darbų pavadinimas</t>
  </si>
  <si>
    <t>Mato vnt.</t>
  </si>
  <si>
    <t>Mato vieneto kaina, Eur be PVM</t>
  </si>
  <si>
    <t>Bendra kaina, Eur be PVM</t>
  </si>
  <si>
    <r>
      <t>100 m</t>
    </r>
    <r>
      <rPr>
        <vertAlign val="superscript"/>
        <sz val="10"/>
        <rFont val="Times New Roman"/>
        <family val="1"/>
        <charset val="186"/>
      </rPr>
      <t>2</t>
    </r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</si>
  <si>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</si>
  <si>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r>
      <t>m</t>
    </r>
    <r>
      <rPr>
        <vertAlign val="superscript"/>
        <sz val="10"/>
        <rFont val="Times New Roman"/>
        <family val="1"/>
        <charset val="186"/>
      </rPr>
      <t>3</t>
    </r>
  </si>
  <si>
    <t>100 m</t>
  </si>
  <si>
    <t>Minkštų veislių medžių virš 32 cm. storio kirtimas, ištraukimas iki 300 m. ir medienos paruošimas</t>
  </si>
  <si>
    <t>Minkštų veislių medžių virš 40 cm. skersmens kelmų rovimas, duobių užlyginimas ir kelmų išvežimas 3 km. atstumu</t>
  </si>
  <si>
    <t>Metalinių vienpusių kelio atitvarų ant metalinių statramsčių išardymas</t>
  </si>
  <si>
    <t>10 m</t>
  </si>
  <si>
    <t>Metalinių vienpusių kelio atitvarų ant metalinių statramsčių įrengimas, panaudojant demontuotus kelio atitvarus</t>
  </si>
  <si>
    <t>Rezervinių d63 mm skersmens vamzdžių paklojimas</t>
  </si>
  <si>
    <t>Kelio ženklų vienstiebių metalinių atramų demontavimas (H18K-25)</t>
  </si>
  <si>
    <t>Kelio ženklų skydų (esamų) montavimas prie atramų rankiniu būdu (be skydo kainos) (H18K-80)</t>
  </si>
  <si>
    <t>Kelio ženklų skydų demontavimas rankiniu būdu nuimant nuo esamos atramos (H18K-80)</t>
  </si>
  <si>
    <t>Kelio ženklų vienstiebių metalinių atramų įrengimas ant monolitinių betoninių pamatų, panaudojant esamą metalinę atramą (H18K-25)</t>
  </si>
  <si>
    <t>Esamų kabelių, kabelių apsaugos vamzdžių, plastikinių, PVC ir kt. vamzdžių  klojimas kanaluose, vagose, tranšėjose be medžiagų kainos (perklojimas) (N21P-0306)</t>
  </si>
  <si>
    <t>Flanšinių vamzdžių iki 200 mm skersmens lietaus nuotekų tinklams montavimas (N22-505)</t>
  </si>
  <si>
    <t>Metalinės cinkuotos pėsčiųjų apsaugos tvorelės įrengimas įbetonuojant (N27P-38-1)</t>
  </si>
  <si>
    <t>Betoninių ir/ar mūrinių konstrukcijų (pagrindų, kelio ir šaligatvio bortų, šulinių žiedų, dugnų, dangčių, atraminių sienučių ir kt. konstrukcijų, sudėtų ant betono) išardymas</t>
  </si>
  <si>
    <t>Vamzdyno vidaus apžiūra, darant vaizdo įrašą (naujai paklotų tinklų TV diagnostika) (R19-247)</t>
  </si>
  <si>
    <t>Plieninių d426 mm vamzdžių prakalimas (klojimas uždaru būdu) (N22-446)</t>
  </si>
  <si>
    <t>Dėklų d426 galų užtaisymas sandarinimo žiedais (N22P-0515)</t>
  </si>
  <si>
    <t>Gręžinių gręžimas poliams slankiuose gruntuose sraigtiniu grąžtu su apsauginiu vamzdžiu, kai gręžinio d iki 500 mm I-III g. grunte (N5P-0601)</t>
  </si>
  <si>
    <t>Gręžtinių polių betonavimas, kai gręžinio skersmuo iki 500 mm; betonas C30/37 klasės (be armatūros) (N5P-0603)</t>
  </si>
  <si>
    <t>Dviračių stovų, šiukšliadėžių ir kitų mažosios architektūros formų, skalbinių džiovinimo stovų ir kt. panašių įrenginių demontavimas</t>
  </si>
  <si>
    <t>Šlaitų tvirtinimas geotekstile (N57P-2205)</t>
  </si>
  <si>
    <t>Plastikinių vamzdžių įtraukimas į dėklus, kai įtraukiamų vamzdžių skersmuo nuo 160-225 mm (N22P-0513)</t>
  </si>
  <si>
    <t>Plastikinių vamzdžių įtraukimas į dėklus, kai įtraukiamų vamzdžių skersmuo 250-315 mm (N22P-0513)</t>
  </si>
  <si>
    <t>Plastikinių vamzdžių įtraukimas į dėklus, kai įtraukiamų vamzdžių skersmuo 355-500 mm (N22P-0513)</t>
  </si>
  <si>
    <t>Drenuojančiojo sluoksnio iš žvyro skaldelės (fr. 5/11) įrengimas drenažui įrengti</t>
  </si>
  <si>
    <t>Protarpinių nuo 160 iki 315 mm skersmens montavimas</t>
  </si>
  <si>
    <t>Protarpinių nuo 350 iki 630 mm skersmens montavimas</t>
  </si>
  <si>
    <t>Movinių alkūnių, perėjimų, movų, intarpų nuo 160 iki 350 mm skersmens perkritimams montavimas (N23P-0204)</t>
  </si>
  <si>
    <t>Movinių alkūnių, perėjimų, movų, intarpų nuo 400 iki 630 mm skersmens perkritimams montavimas (N23P-0204)</t>
  </si>
  <si>
    <t>Plastikinių trišakių nuo 160 iki 315 mm skersmens montavimas (N57P-7219)</t>
  </si>
  <si>
    <t>Plastikinių trišakių nuo 350 iki 630 mm skersmens montavimas (N57P-7219)</t>
  </si>
  <si>
    <t>Lietaus vandens nuvedimui paviršiumi skirtų betoninių latako elementų (BxHxL) 200x85x200 mm, 200x100x290 mm, 300x200x80 mm, 390x230x800 mm, 498x238x396 mm ir panašių matmenų elementų įrengimas ant įrengto pagrindo ar betoninio pamato</t>
  </si>
  <si>
    <t>Vamzdynų, šulinių apšiltinimas ekstrudiniu polistirenu</t>
  </si>
  <si>
    <t>Betoninių (C16/20, C20/25 ir/ar C25/30 klasės) konstrukcijų (pamatų, laiptų, antgalių pralaidoms, atraminių sienučių, pagrindų, perdengimų ir kt.) įrengimas, įrengiant klojinius iš lentų ir/arba klojinių</t>
  </si>
  <si>
    <t>Latakų, perkritimų įrengimas šuliniuose iš C12/15, C16/20 klasės betono (su užtryminu ir nugeležinimu)</t>
  </si>
  <si>
    <t>Eil. Nr. (poz.)</t>
  </si>
  <si>
    <r>
      <t>Skaldos pagrindo taisymas, pridedant medžiagų (10,0 m</t>
    </r>
    <r>
      <rPr>
        <vertAlign val="super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>/100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 skaldos 0/32, 0/45 ar 0/54)</t>
    </r>
  </si>
  <si>
    <t>Nuotekų vamzdynų iki 630 mm skersmens hidraulinis bandymas (N23P-0402)</t>
  </si>
  <si>
    <r>
      <t>Skaldos pagrindo taisymas, pridedant medžiagų (6,6 m</t>
    </r>
    <r>
      <rPr>
        <vertAlign val="super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>/100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 skaldos 0/32, 0/45 ar 0/54)</t>
    </r>
  </si>
  <si>
    <t>1 lentelė.  TIESIMO IR REKONSTRAVIMO DARBAI</t>
  </si>
  <si>
    <t>Geodezinės išpildomosios dokumentacijos parengimas</t>
  </si>
  <si>
    <t>Kadastrinių matavimų bylos parengimas ir patikrinimas NT registre</t>
  </si>
  <si>
    <t>Iš viso su PVM (115+116 poz.):</t>
  </si>
  <si>
    <t>Preliminarūs kiekiai sutarties galiojimo laikotarpiu (12+12+12)</t>
  </si>
  <si>
    <t xml:space="preserve"> </t>
  </si>
  <si>
    <t xml:space="preserve">Esamų dekoratyvinių apsauginių gatvės stulpelių remontas (esamų demontavimas, naujų pastatymas, inkaravimas, dangos atstatymas) </t>
  </si>
  <si>
    <t xml:space="preserve">Naujų dekoratyvinių apsauginių gatvės stulpelių pastatymas (esamų demontavimas, naujų pastatymas, inkaravimas, dangos atstatymas) </t>
  </si>
  <si>
    <t>Viso (1+2+3+....+116 poz.):</t>
  </si>
  <si>
    <t>PVM-21% nuo 116 poz.:</t>
  </si>
  <si>
    <t>PAGRINDINIŲ DARBŲ KIEKIAI IR PASIŪLYMAS DĖL DRUSKININKŲ SAVIVALDYBĖS VIETINĖS REIKŠMĖS KELIŲ (GATVIŲ), PĖSČIŲJŲ IR DVIRAČIŲ TAKŲ, AUTOMOBILIŲ STOVĖJIMO AIKŠTELIŲ IR KITŲ INFRASTRUKTŪROS STATINIŲ TIESIMO, REKONSTRAVIMO IR REMONTO DARBŲ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</si>
</sst>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u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name val="Times New Roman"/>
      <family val="1"/>
      <charset val="204"/>
    </font>
    <font>
      <sz val="10"/>
      <name val="Arial"/>
      <family val="2"/>
      <charset val="186"/>
    </font>
    <font>
      <b/>
      <i/>
      <sz val="9"/>
      <name val="Arial"/>
      <family val="2"/>
      <charset val="204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i/>
      <sz val="9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i/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10"/>
      <color theme="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 vertical="top"/>
    </xf>
    <xf numFmtId="2" fontId="1" fillId="0" borderId="0" xfId="0" applyNumberFormat="1" applyFont="1"/>
    <xf numFmtId="4" fontId="1" fillId="0" borderId="0" xfId="0" applyNumberFormat="1" applyFont="1"/>
    <xf numFmtId="0" fontId="3" fillId="0" borderId="5" xfId="0" applyFont="1" applyBorder="1" applyAlignment="1">
      <alignment vertical="top"/>
    </xf>
    <xf numFmtId="2" fontId="3" fillId="0" borderId="6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2" fontId="10" fillId="0" borderId="0" xfId="0" applyNumberFormat="1" applyFont="1" applyAlignment="1">
      <alignment horizontal="center" vertical="top"/>
    </xf>
    <xf numFmtId="0" fontId="10" fillId="0" borderId="0" xfId="0" applyFont="1"/>
    <xf numFmtId="0" fontId="3" fillId="0" borderId="14" xfId="0" applyFont="1" applyBorder="1" applyAlignment="1">
      <alignment vertical="top"/>
    </xf>
    <xf numFmtId="0" fontId="2" fillId="0" borderId="2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6" xfId="0" applyFont="1" applyBorder="1" applyAlignment="1">
      <alignment vertical="center" wrapText="1"/>
    </xf>
    <xf numFmtId="4" fontId="2" fillId="0" borderId="21" xfId="0" applyNumberFormat="1" applyFont="1" applyBorder="1" applyAlignment="1">
      <alignment horizontal="center"/>
    </xf>
    <xf numFmtId="2" fontId="3" fillId="0" borderId="15" xfId="0" applyNumberFormat="1" applyFont="1" applyBorder="1"/>
    <xf numFmtId="4" fontId="2" fillId="0" borderId="2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4" xfId="0" applyFont="1" applyBorder="1"/>
    <xf numFmtId="0" fontId="1" fillId="0" borderId="32" xfId="0" applyFont="1" applyBorder="1" applyAlignment="1">
      <alignment horizontal="center" vertical="top"/>
    </xf>
    <xf numFmtId="0" fontId="1" fillId="0" borderId="10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/>
    </xf>
    <xf numFmtId="0" fontId="2" fillId="0" borderId="33" xfId="0" applyFont="1" applyBorder="1"/>
    <xf numFmtId="0" fontId="3" fillId="0" borderId="33" xfId="0" applyFont="1" applyBorder="1" applyAlignment="1">
      <alignment vertical="top"/>
    </xf>
    <xf numFmtId="2" fontId="3" fillId="0" borderId="30" xfId="0" applyNumberFormat="1" applyFont="1" applyBorder="1"/>
    <xf numFmtId="4" fontId="2" fillId="0" borderId="20" xfId="0" applyNumberFormat="1" applyFont="1" applyBorder="1" applyAlignment="1">
      <alignment horizontal="center"/>
    </xf>
    <xf numFmtId="0" fontId="1" fillId="0" borderId="1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top"/>
    </xf>
    <xf numFmtId="2" fontId="0" fillId="0" borderId="4" xfId="0" applyNumberFormat="1" applyBorder="1" applyAlignment="1">
      <alignment horizontal="center" vertical="top"/>
    </xf>
    <xf numFmtId="2" fontId="0" fillId="0" borderId="9" xfId="0" applyNumberFormat="1" applyBorder="1" applyAlignment="1">
      <alignment horizontal="center" vertical="top"/>
    </xf>
    <xf numFmtId="4" fontId="2" fillId="0" borderId="16" xfId="0" applyNumberFormat="1" applyFont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center" vertical="top"/>
    </xf>
    <xf numFmtId="4" fontId="1" fillId="0" borderId="29" xfId="0" applyNumberFormat="1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4" fillId="0" borderId="17" xfId="0" applyFont="1" applyBorder="1"/>
    <xf numFmtId="0" fontId="1" fillId="0" borderId="11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4" fontId="5" fillId="0" borderId="27" xfId="0" applyNumberFormat="1" applyFont="1" applyBorder="1" applyAlignment="1">
      <alignment horizontal="center"/>
    </xf>
    <xf numFmtId="4" fontId="5" fillId="0" borderId="28" xfId="0" applyNumberFormat="1" applyFont="1" applyBorder="1" applyAlignment="1">
      <alignment horizontal="center"/>
    </xf>
    <xf numFmtId="0" fontId="1" fillId="0" borderId="35" xfId="0" applyFont="1" applyBorder="1" applyAlignment="1">
      <alignment horizontal="justify" vertical="center" wrapText="1"/>
    </xf>
    <xf numFmtId="4" fontId="5" fillId="0" borderId="32" xfId="0" applyNumberFormat="1" applyFont="1" applyBorder="1" applyAlignment="1">
      <alignment horizontal="center"/>
    </xf>
    <xf numFmtId="4" fontId="6" fillId="0" borderId="16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2" fontId="10" fillId="0" borderId="0" xfId="0" applyNumberFormat="1" applyFont="1"/>
    <xf numFmtId="0" fontId="11" fillId="0" borderId="1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top" wrapText="1"/>
    </xf>
    <xf numFmtId="2" fontId="11" fillId="0" borderId="24" xfId="0" applyNumberFormat="1" applyFont="1" applyFill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top"/>
    </xf>
    <xf numFmtId="0" fontId="10" fillId="0" borderId="12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2" fontId="11" fillId="0" borderId="7" xfId="0" applyNumberFormat="1" applyFont="1" applyFill="1" applyBorder="1" applyAlignment="1">
      <alignment horizontal="center" vertical="center"/>
    </xf>
    <xf numFmtId="4" fontId="11" fillId="0" borderId="27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/>
    </xf>
    <xf numFmtId="0" fontId="10" fillId="0" borderId="6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/>
    </xf>
    <xf numFmtId="4" fontId="11" fillId="0" borderId="28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32" xfId="0" applyFont="1" applyBorder="1" applyAlignment="1">
      <alignment horizontal="center" vertical="top"/>
    </xf>
    <xf numFmtId="0" fontId="10" fillId="0" borderId="10" xfId="0" applyFont="1" applyBorder="1" applyAlignment="1">
      <alignment horizontal="justify" vertical="top" wrapText="1"/>
    </xf>
    <xf numFmtId="0" fontId="10" fillId="0" borderId="9" xfId="0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2" fontId="11" fillId="0" borderId="9" xfId="0" applyNumberFormat="1" applyFont="1" applyFill="1" applyBorder="1" applyAlignment="1">
      <alignment horizontal="center" vertical="center"/>
    </xf>
    <xf numFmtId="4" fontId="11" fillId="0" borderId="32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top"/>
    </xf>
    <xf numFmtId="0" fontId="21" fillId="0" borderId="17" xfId="0" applyFont="1" applyBorder="1"/>
    <xf numFmtId="0" fontId="14" fillId="0" borderId="17" xfId="0" applyFont="1" applyBorder="1" applyAlignment="1">
      <alignment vertical="top"/>
    </xf>
    <xf numFmtId="2" fontId="14" fillId="0" borderId="17" xfId="0" applyNumberFormat="1" applyFont="1" applyBorder="1"/>
    <xf numFmtId="2" fontId="10" fillId="0" borderId="17" xfId="0" applyNumberFormat="1" applyFont="1" applyFill="1" applyBorder="1" applyAlignment="1">
      <alignment horizontal="center" vertical="top"/>
    </xf>
    <xf numFmtId="4" fontId="11" fillId="0" borderId="16" xfId="0" applyNumberFormat="1" applyFont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 wrapText="1"/>
    </xf>
    <xf numFmtId="1" fontId="15" fillId="2" borderId="23" xfId="0" applyNumberFormat="1" applyFont="1" applyFill="1" applyBorder="1" applyAlignment="1">
      <alignment horizontal="center" vertical="top" wrapText="1"/>
    </xf>
    <xf numFmtId="1" fontId="15" fillId="2" borderId="23" xfId="0" applyNumberFormat="1" applyFont="1" applyFill="1" applyBorder="1" applyAlignment="1">
      <alignment horizontal="center" vertical="center" wrapText="1"/>
    </xf>
    <xf numFmtId="1" fontId="15" fillId="2" borderId="39" xfId="0" applyNumberFormat="1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 wrapText="1"/>
    </xf>
    <xf numFmtId="1" fontId="20" fillId="2" borderId="23" xfId="0" applyNumberFormat="1" applyFont="1" applyFill="1" applyBorder="1" applyAlignment="1">
      <alignment horizontal="center" vertical="top" wrapText="1"/>
    </xf>
    <xf numFmtId="1" fontId="20" fillId="2" borderId="23" xfId="0" applyNumberFormat="1" applyFont="1" applyFill="1" applyBorder="1" applyAlignment="1">
      <alignment horizontal="center" vertical="center" wrapText="1"/>
    </xf>
    <xf numFmtId="1" fontId="20" fillId="2" borderId="39" xfId="0" applyNumberFormat="1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 applyProtection="1">
      <alignment horizontal="center" vertical="top"/>
      <protection locked="0"/>
    </xf>
    <xf numFmtId="2" fontId="10" fillId="0" borderId="0" xfId="0" applyNumberFormat="1" applyFont="1" applyBorder="1" applyAlignment="1" applyProtection="1">
      <alignment horizontal="center" vertical="top"/>
      <protection locked="0"/>
    </xf>
    <xf numFmtId="4" fontId="10" fillId="0" borderId="0" xfId="0" applyNumberFormat="1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Fill="1" applyBorder="1" applyProtection="1">
      <protection locked="0"/>
    </xf>
    <xf numFmtId="0" fontId="10" fillId="0" borderId="0" xfId="0" applyFont="1" applyBorder="1" applyProtection="1">
      <protection locked="0"/>
    </xf>
    <xf numFmtId="0" fontId="16" fillId="0" borderId="0" xfId="0" applyFont="1" applyBorder="1" applyAlignment="1" applyProtection="1">
      <alignment horizontal="center"/>
      <protection locked="0"/>
    </xf>
    <xf numFmtId="0" fontId="17" fillId="0" borderId="0" xfId="0" applyFont="1" applyBorder="1" applyProtection="1">
      <protection locked="0"/>
    </xf>
    <xf numFmtId="0" fontId="16" fillId="0" borderId="0" xfId="0" applyFont="1" applyBorder="1" applyAlignment="1" applyProtection="1">
      <alignment vertical="top"/>
      <protection locked="0"/>
    </xf>
    <xf numFmtId="0" fontId="16" fillId="0" borderId="0" xfId="0" applyFont="1" applyBorder="1" applyAlignment="1" applyProtection="1">
      <alignment horizontal="center" vertical="top"/>
      <protection locked="0"/>
    </xf>
    <xf numFmtId="2" fontId="16" fillId="0" borderId="0" xfId="0" applyNumberFormat="1" applyFont="1" applyBorder="1" applyAlignment="1" applyProtection="1">
      <alignment horizontal="center" vertical="top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Protection="1">
      <protection locked="0"/>
    </xf>
    <xf numFmtId="0" fontId="16" fillId="0" borderId="0" xfId="0" applyFont="1" applyProtection="1">
      <protection locked="0"/>
    </xf>
    <xf numFmtId="2" fontId="11" fillId="0" borderId="23" xfId="0" applyNumberFormat="1" applyFont="1" applyBorder="1" applyAlignment="1" applyProtection="1">
      <alignment horizontal="center" vertical="center" wrapText="1"/>
      <protection locked="0"/>
    </xf>
    <xf numFmtId="2" fontId="11" fillId="0" borderId="0" xfId="0" applyNumberFormat="1" applyFont="1" applyBorder="1" applyAlignment="1" applyProtection="1">
      <alignment horizontal="center" vertical="center" wrapText="1"/>
      <protection locked="0"/>
    </xf>
    <xf numFmtId="2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1" fontId="15" fillId="2" borderId="23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top"/>
      <protection locked="0"/>
    </xf>
    <xf numFmtId="2" fontId="23" fillId="0" borderId="0" xfId="0" applyNumberFormat="1" applyFont="1" applyFill="1" applyBorder="1" applyAlignment="1" applyProtection="1">
      <alignment horizontal="center" vertical="center"/>
      <protection locked="0"/>
    </xf>
    <xf numFmtId="2" fontId="10" fillId="0" borderId="0" xfId="0" applyNumberFormat="1" applyFont="1" applyBorder="1" applyAlignment="1" applyProtection="1">
      <alignment horizontal="center" vertical="center"/>
      <protection locked="0"/>
    </xf>
    <xf numFmtId="2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10" fillId="3" borderId="0" xfId="0" applyFont="1" applyFill="1" applyProtection="1">
      <protection locked="0"/>
    </xf>
    <xf numFmtId="2" fontId="10" fillId="0" borderId="2" xfId="0" applyNumberFormat="1" applyFont="1" applyFill="1" applyBorder="1" applyAlignment="1" applyProtection="1">
      <alignment horizontal="center" vertical="top"/>
      <protection locked="0"/>
    </xf>
    <xf numFmtId="2" fontId="14" fillId="0" borderId="19" xfId="0" applyNumberFormat="1" applyFont="1" applyBorder="1" applyAlignment="1" applyProtection="1">
      <alignment horizontal="center" vertical="top"/>
      <protection locked="0"/>
    </xf>
    <xf numFmtId="2" fontId="14" fillId="0" borderId="1" xfId="0" applyNumberFormat="1" applyFont="1" applyBorder="1" applyAlignment="1" applyProtection="1">
      <alignment horizontal="center" vertical="top"/>
      <protection locked="0"/>
    </xf>
    <xf numFmtId="2" fontId="14" fillId="0" borderId="3" xfId="0" applyNumberFormat="1" applyFont="1" applyBorder="1" applyAlignment="1" applyProtection="1">
      <alignment horizontal="center" vertical="top"/>
      <protection locked="0"/>
    </xf>
    <xf numFmtId="2" fontId="11" fillId="0" borderId="0" xfId="0" applyNumberFormat="1" applyFont="1" applyBorder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2" fontId="10" fillId="0" borderId="0" xfId="0" applyNumberFormat="1" applyFont="1" applyAlignment="1" applyProtection="1">
      <alignment horizontal="center" vertical="top"/>
      <protection locked="0"/>
    </xf>
    <xf numFmtId="4" fontId="10" fillId="0" borderId="0" xfId="0" applyNumberFormat="1" applyFont="1" applyAlignment="1" applyProtection="1">
      <alignment horizontal="center"/>
      <protection locked="0"/>
    </xf>
    <xf numFmtId="0" fontId="11" fillId="0" borderId="38" xfId="0" applyFont="1" applyBorder="1" applyAlignment="1" applyProtection="1">
      <alignment horizontal="center" vertical="center" wrapText="1"/>
    </xf>
    <xf numFmtId="0" fontId="11" fillId="0" borderId="23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wrapText="1"/>
    </xf>
    <xf numFmtId="0" fontId="15" fillId="2" borderId="38" xfId="0" applyFont="1" applyFill="1" applyBorder="1" applyAlignment="1" applyProtection="1">
      <alignment horizontal="center" vertical="center" wrapText="1"/>
    </xf>
    <xf numFmtId="0" fontId="15" fillId="2" borderId="23" xfId="0" applyFont="1" applyFill="1" applyBorder="1" applyAlignment="1" applyProtection="1">
      <alignment horizontal="center" vertical="center"/>
    </xf>
    <xf numFmtId="0" fontId="15" fillId="2" borderId="23" xfId="0" applyFont="1" applyFill="1" applyBorder="1" applyAlignment="1" applyProtection="1">
      <alignment horizontal="center" vertical="center" wrapText="1"/>
    </xf>
    <xf numFmtId="1" fontId="15" fillId="2" borderId="23" xfId="0" applyNumberFormat="1" applyFont="1" applyFill="1" applyBorder="1" applyAlignment="1" applyProtection="1">
      <alignment horizontal="center" vertical="center" wrapText="1"/>
    </xf>
    <xf numFmtId="0" fontId="10" fillId="0" borderId="22" xfId="0" applyFont="1" applyBorder="1" applyAlignment="1" applyProtection="1">
      <alignment horizontal="center" vertical="top"/>
    </xf>
    <xf numFmtId="0" fontId="10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top"/>
    </xf>
    <xf numFmtId="0" fontId="10" fillId="0" borderId="1" xfId="0" applyFont="1" applyBorder="1" applyAlignment="1" applyProtection="1">
      <alignment horizontal="center" vertical="top" wrapText="1"/>
    </xf>
    <xf numFmtId="0" fontId="10" fillId="0" borderId="22" xfId="0" applyFont="1" applyFill="1" applyBorder="1" applyAlignment="1" applyProtection="1">
      <alignment horizontal="center" vertical="top"/>
    </xf>
    <xf numFmtId="0" fontId="10" fillId="0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horizontal="center" vertical="top"/>
    </xf>
    <xf numFmtId="0" fontId="10" fillId="0" borderId="1" xfId="0" applyFont="1" applyFill="1" applyBorder="1" applyAlignment="1" applyProtection="1">
      <alignment horizontal="center" vertical="top" wrapText="1"/>
    </xf>
    <xf numFmtId="0" fontId="10" fillId="0" borderId="22" xfId="0" applyFont="1" applyFill="1" applyBorder="1" applyAlignment="1" applyProtection="1">
      <alignment horizontal="center"/>
    </xf>
    <xf numFmtId="49" fontId="10" fillId="0" borderId="1" xfId="0" applyNumberFormat="1" applyFont="1" applyFill="1" applyBorder="1" applyAlignment="1" applyProtection="1">
      <alignment horizontal="left" vertical="top" wrapText="1"/>
    </xf>
    <xf numFmtId="49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22" xfId="0" applyFont="1" applyBorder="1" applyAlignment="1" applyProtection="1">
      <alignment horizontal="center"/>
    </xf>
    <xf numFmtId="49" fontId="10" fillId="0" borderId="1" xfId="0" applyNumberFormat="1" applyFont="1" applyBorder="1" applyAlignment="1" applyProtection="1">
      <alignment horizontal="left" vertical="top" wrapText="1"/>
    </xf>
    <xf numFmtId="49" fontId="10" fillId="0" borderId="1" xfId="0" applyNumberFormat="1" applyFont="1" applyBorder="1" applyAlignment="1" applyProtection="1">
      <alignment horizontal="center" vertical="top" wrapText="1"/>
    </xf>
    <xf numFmtId="0" fontId="10" fillId="0" borderId="1" xfId="0" applyFont="1" applyFill="1" applyBorder="1" applyAlignment="1" applyProtection="1">
      <alignment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wrapText="1"/>
    </xf>
    <xf numFmtId="0" fontId="10" fillId="0" borderId="1" xfId="0" applyFont="1" applyBorder="1" applyAlignment="1" applyProtection="1">
      <alignment horizontal="center" vertical="center"/>
    </xf>
    <xf numFmtId="0" fontId="10" fillId="0" borderId="40" xfId="0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vertical="center" wrapText="1"/>
    </xf>
    <xf numFmtId="0" fontId="10" fillId="0" borderId="2" xfId="0" applyFont="1" applyFill="1" applyBorder="1" applyAlignment="1" applyProtection="1">
      <alignment horizontal="center" vertical="top" wrapText="1"/>
    </xf>
    <xf numFmtId="0" fontId="10" fillId="0" borderId="40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top"/>
    </xf>
    <xf numFmtId="0" fontId="10" fillId="0" borderId="18" xfId="0" applyFont="1" applyBorder="1" applyAlignment="1" applyProtection="1">
      <alignment horizontal="center" vertical="top"/>
    </xf>
    <xf numFmtId="0" fontId="11" fillId="0" borderId="19" xfId="0" applyFont="1" applyBorder="1" applyAlignment="1" applyProtection="1">
      <alignment wrapText="1"/>
    </xf>
    <xf numFmtId="0" fontId="14" fillId="0" borderId="19" xfId="0" applyFont="1" applyBorder="1" applyAlignment="1" applyProtection="1">
      <alignment vertical="top"/>
    </xf>
    <xf numFmtId="0" fontId="14" fillId="0" borderId="19" xfId="0" applyFont="1" applyBorder="1" applyAlignment="1" applyProtection="1">
      <alignment horizontal="center" vertical="top"/>
    </xf>
    <xf numFmtId="0" fontId="11" fillId="0" borderId="1" xfId="0" applyFont="1" applyBorder="1" applyAlignment="1" applyProtection="1">
      <alignment wrapText="1"/>
    </xf>
    <xf numFmtId="0" fontId="14" fillId="0" borderId="1" xfId="0" applyFont="1" applyBorder="1" applyAlignment="1" applyProtection="1">
      <alignment vertical="top"/>
    </xf>
    <xf numFmtId="0" fontId="14" fillId="0" borderId="1" xfId="0" applyFont="1" applyBorder="1" applyAlignment="1" applyProtection="1">
      <alignment horizontal="center" vertical="top"/>
    </xf>
    <xf numFmtId="0" fontId="10" fillId="0" borderId="34" xfId="0" applyFont="1" applyBorder="1" applyAlignment="1" applyProtection="1">
      <alignment horizontal="center" vertical="top"/>
    </xf>
    <xf numFmtId="0" fontId="11" fillId="0" borderId="13" xfId="0" applyFont="1" applyBorder="1" applyAlignment="1" applyProtection="1">
      <alignment wrapText="1"/>
    </xf>
    <xf numFmtId="0" fontId="14" fillId="0" borderId="3" xfId="0" applyFont="1" applyBorder="1" applyAlignment="1" applyProtection="1">
      <alignment vertical="top"/>
    </xf>
    <xf numFmtId="0" fontId="14" fillId="0" borderId="3" xfId="0" applyFont="1" applyBorder="1" applyAlignment="1" applyProtection="1">
      <alignment horizontal="center" vertical="top"/>
    </xf>
    <xf numFmtId="4" fontId="11" fillId="0" borderId="39" xfId="0" applyNumberFormat="1" applyFont="1" applyBorder="1" applyAlignment="1" applyProtection="1">
      <alignment horizontal="center" vertical="center" wrapText="1"/>
    </xf>
    <xf numFmtId="1" fontId="15" fillId="2" borderId="39" xfId="0" applyNumberFormat="1" applyFont="1" applyFill="1" applyBorder="1" applyAlignment="1" applyProtection="1">
      <alignment horizontal="center" vertical="center" wrapText="1"/>
    </xf>
    <xf numFmtId="2" fontId="10" fillId="0" borderId="21" xfId="0" applyNumberFormat="1" applyFont="1" applyBorder="1" applyAlignment="1" applyProtection="1">
      <alignment horizontal="center" vertical="top"/>
    </xf>
    <xf numFmtId="2" fontId="11" fillId="0" borderId="20" xfId="0" applyNumberFormat="1" applyFont="1" applyBorder="1" applyAlignment="1" applyProtection="1">
      <alignment horizontal="center"/>
    </xf>
    <xf numFmtId="2" fontId="11" fillId="0" borderId="21" xfId="0" applyNumberFormat="1" applyFont="1" applyBorder="1" applyAlignment="1" applyProtection="1">
      <alignment horizontal="center"/>
    </xf>
    <xf numFmtId="2" fontId="11" fillId="0" borderId="25" xfId="0" applyNumberFormat="1" applyFont="1" applyBorder="1" applyAlignment="1" applyProtection="1">
      <alignment horizontal="center"/>
    </xf>
    <xf numFmtId="0" fontId="7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8" fillId="0" borderId="0" xfId="0" applyFont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4"/>
  <sheetViews>
    <sheetView tabSelected="1" topLeftCell="A109" workbookViewId="0">
      <selection activeCell="G119" sqref="G119"/>
    </sheetView>
  </sheetViews>
  <sheetFormatPr defaultColWidth="9.140625" defaultRowHeight="12.75" x14ac:dyDescent="0.2"/>
  <cols>
    <col min="1" max="1" width="5.28515625" style="110" customWidth="1"/>
    <col min="2" max="2" width="69.7109375" style="151" customWidth="1"/>
    <col min="3" max="3" width="7.42578125" style="152" customWidth="1"/>
    <col min="4" max="4" width="11.42578125" style="153" customWidth="1"/>
    <col min="5" max="5" width="9.140625" style="154"/>
    <col min="6" max="6" width="13.42578125" style="155" customWidth="1"/>
    <col min="7" max="7" width="11.42578125" style="111" customWidth="1"/>
    <col min="8" max="8" width="10.42578125" style="111" customWidth="1"/>
    <col min="9" max="9" width="10.7109375" style="111" customWidth="1"/>
    <col min="10" max="10" width="10.85546875" style="111" customWidth="1"/>
    <col min="11" max="11" width="11" style="111" customWidth="1"/>
    <col min="12" max="12" width="12.42578125" style="111" customWidth="1"/>
    <col min="13" max="16384" width="9.140625" style="111"/>
  </cols>
  <sheetData>
    <row r="1" spans="1:12" ht="52.35" customHeight="1" x14ac:dyDescent="0.2">
      <c r="B1" s="203" t="s">
        <v>136</v>
      </c>
      <c r="C1" s="204"/>
      <c r="D1" s="204"/>
      <c r="E1" s="204"/>
      <c r="F1" s="204"/>
    </row>
    <row r="2" spans="1:12" ht="17.45" customHeight="1" x14ac:dyDescent="0.2">
      <c r="A2" s="112"/>
      <c r="B2" s="113"/>
      <c r="C2" s="114"/>
      <c r="D2" s="115"/>
      <c r="E2" s="116"/>
      <c r="F2" s="117"/>
      <c r="G2" s="118"/>
      <c r="H2" s="118"/>
      <c r="I2" s="118"/>
      <c r="J2" s="118"/>
      <c r="K2" s="119"/>
      <c r="L2" s="120"/>
    </row>
    <row r="3" spans="1:12" s="130" customFormat="1" ht="23.25" customHeight="1" thickBot="1" x14ac:dyDescent="0.25">
      <c r="A3" s="121"/>
      <c r="B3" s="122" t="s">
        <v>126</v>
      </c>
      <c r="C3" s="123"/>
      <c r="D3" s="124"/>
      <c r="E3" s="125"/>
      <c r="F3" s="126"/>
      <c r="G3" s="127"/>
      <c r="H3" s="127"/>
      <c r="I3" s="127"/>
      <c r="J3" s="127"/>
      <c r="K3" s="128"/>
      <c r="L3" s="129"/>
    </row>
    <row r="4" spans="1:12" s="134" customFormat="1" ht="72.75" thickBot="1" x14ac:dyDescent="0.3">
      <c r="A4" s="156" t="s">
        <v>122</v>
      </c>
      <c r="B4" s="157" t="s">
        <v>79</v>
      </c>
      <c r="C4" s="157" t="s">
        <v>80</v>
      </c>
      <c r="D4" s="158" t="s">
        <v>130</v>
      </c>
      <c r="E4" s="131" t="s">
        <v>81</v>
      </c>
      <c r="F4" s="197" t="s">
        <v>82</v>
      </c>
      <c r="G4" s="132"/>
      <c r="H4" s="132"/>
      <c r="I4" s="132"/>
      <c r="J4" s="132"/>
      <c r="K4" s="133"/>
      <c r="L4" s="118"/>
    </row>
    <row r="5" spans="1:12" s="134" customFormat="1" ht="18.75" customHeight="1" thickBot="1" x14ac:dyDescent="0.3">
      <c r="A5" s="159">
        <v>1</v>
      </c>
      <c r="B5" s="160">
        <v>2</v>
      </c>
      <c r="C5" s="161">
        <v>3</v>
      </c>
      <c r="D5" s="162">
        <v>4</v>
      </c>
      <c r="E5" s="135">
        <v>5</v>
      </c>
      <c r="F5" s="198">
        <v>6</v>
      </c>
      <c r="G5" s="136"/>
      <c r="H5" s="136"/>
      <c r="I5" s="136"/>
      <c r="J5" s="136"/>
      <c r="K5" s="137"/>
      <c r="L5" s="118"/>
    </row>
    <row r="6" spans="1:12" ht="17.25" customHeight="1" x14ac:dyDescent="0.2">
      <c r="A6" s="163">
        <v>1</v>
      </c>
      <c r="B6" s="164" t="s">
        <v>0</v>
      </c>
      <c r="C6" s="165" t="s">
        <v>84</v>
      </c>
      <c r="D6" s="166">
        <v>12250</v>
      </c>
      <c r="E6" s="138">
        <v>2</v>
      </c>
      <c r="F6" s="199">
        <f>D6*E6</f>
        <v>24500</v>
      </c>
      <c r="G6" s="112"/>
      <c r="H6" s="112"/>
      <c r="I6" s="112"/>
      <c r="J6" s="112"/>
      <c r="K6" s="139"/>
      <c r="L6" s="140"/>
    </row>
    <row r="7" spans="1:12" ht="17.25" customHeight="1" x14ac:dyDescent="0.2">
      <c r="A7" s="167">
        <v>2</v>
      </c>
      <c r="B7" s="168" t="s">
        <v>1</v>
      </c>
      <c r="C7" s="169" t="s">
        <v>84</v>
      </c>
      <c r="D7" s="170">
        <f>4650+2000</f>
        <v>6650</v>
      </c>
      <c r="E7" s="141">
        <v>2</v>
      </c>
      <c r="F7" s="199">
        <f t="shared" ref="F7:F70" si="0">D7*E7</f>
        <v>13300</v>
      </c>
      <c r="G7" s="112"/>
      <c r="H7" s="112"/>
      <c r="I7" s="112"/>
      <c r="J7" s="112"/>
      <c r="K7" s="139"/>
      <c r="L7" s="140"/>
    </row>
    <row r="8" spans="1:12" ht="25.5" x14ac:dyDescent="0.2">
      <c r="A8" s="167">
        <v>3</v>
      </c>
      <c r="B8" s="168" t="s">
        <v>4</v>
      </c>
      <c r="C8" s="169" t="s">
        <v>84</v>
      </c>
      <c r="D8" s="170">
        <f>34000+9000</f>
        <v>43000</v>
      </c>
      <c r="E8" s="141">
        <v>15</v>
      </c>
      <c r="F8" s="199">
        <f t="shared" si="0"/>
        <v>645000</v>
      </c>
      <c r="G8" s="118"/>
      <c r="H8" s="118"/>
      <c r="I8" s="118"/>
      <c r="J8" s="118"/>
      <c r="K8" s="139"/>
      <c r="L8" s="140"/>
    </row>
    <row r="9" spans="1:12" ht="38.25" x14ac:dyDescent="0.2">
      <c r="A9" s="167">
        <v>4</v>
      </c>
      <c r="B9" s="168" t="s">
        <v>5</v>
      </c>
      <c r="C9" s="169" t="s">
        <v>84</v>
      </c>
      <c r="D9" s="170">
        <v>5500</v>
      </c>
      <c r="E9" s="141">
        <v>1.25</v>
      </c>
      <c r="F9" s="199">
        <f t="shared" si="0"/>
        <v>6875</v>
      </c>
      <c r="G9" s="118"/>
      <c r="H9" s="118"/>
      <c r="I9" s="118"/>
      <c r="J9" s="118"/>
      <c r="K9" s="139"/>
      <c r="L9" s="140"/>
    </row>
    <row r="10" spans="1:12" ht="14.25" customHeight="1" x14ac:dyDescent="0.2">
      <c r="A10" s="163">
        <v>5</v>
      </c>
      <c r="B10" s="164" t="s">
        <v>6</v>
      </c>
      <c r="C10" s="165" t="s">
        <v>7</v>
      </c>
      <c r="D10" s="166">
        <f>80+30</f>
        <v>110</v>
      </c>
      <c r="E10" s="138">
        <v>60</v>
      </c>
      <c r="F10" s="199">
        <f t="shared" si="0"/>
        <v>6600</v>
      </c>
      <c r="G10" s="118"/>
      <c r="H10" s="118"/>
      <c r="I10" s="118"/>
      <c r="J10" s="118"/>
      <c r="K10" s="139"/>
      <c r="L10" s="140"/>
    </row>
    <row r="11" spans="1:12" ht="15" customHeight="1" x14ac:dyDescent="0.2">
      <c r="A11" s="167">
        <v>6</v>
      </c>
      <c r="B11" s="168" t="s">
        <v>8</v>
      </c>
      <c r="C11" s="169" t="s">
        <v>7</v>
      </c>
      <c r="D11" s="170">
        <f>26+12</f>
        <v>38</v>
      </c>
      <c r="E11" s="141">
        <v>65</v>
      </c>
      <c r="F11" s="199">
        <f t="shared" si="0"/>
        <v>2470</v>
      </c>
      <c r="G11" s="118"/>
      <c r="H11" s="118"/>
      <c r="I11" s="118"/>
      <c r="J11" s="118"/>
      <c r="K11" s="139"/>
      <c r="L11" s="140"/>
    </row>
    <row r="12" spans="1:12" ht="15.75" customHeight="1" x14ac:dyDescent="0.2">
      <c r="A12" s="163">
        <v>7</v>
      </c>
      <c r="B12" s="164" t="s">
        <v>9</v>
      </c>
      <c r="C12" s="165" t="s">
        <v>7</v>
      </c>
      <c r="D12" s="166">
        <f>15+5</f>
        <v>20</v>
      </c>
      <c r="E12" s="138">
        <v>75</v>
      </c>
      <c r="F12" s="199">
        <f t="shared" si="0"/>
        <v>1500</v>
      </c>
      <c r="G12" s="118"/>
      <c r="H12" s="118"/>
      <c r="I12" s="118"/>
      <c r="J12" s="118"/>
      <c r="K12" s="139"/>
      <c r="L12" s="140"/>
    </row>
    <row r="13" spans="1:12" ht="25.5" x14ac:dyDescent="0.2">
      <c r="A13" s="167">
        <v>8</v>
      </c>
      <c r="B13" s="168" t="s">
        <v>10</v>
      </c>
      <c r="C13" s="169" t="s">
        <v>2</v>
      </c>
      <c r="D13" s="170">
        <v>5800</v>
      </c>
      <c r="E13" s="141">
        <v>22.2</v>
      </c>
      <c r="F13" s="199">
        <f t="shared" si="0"/>
        <v>128760</v>
      </c>
      <c r="G13" s="118"/>
      <c r="H13" s="118"/>
      <c r="I13" s="118"/>
      <c r="J13" s="118"/>
      <c r="K13" s="139"/>
      <c r="L13" s="140"/>
    </row>
    <row r="14" spans="1:12" ht="25.5" x14ac:dyDescent="0.2">
      <c r="A14" s="167">
        <v>9</v>
      </c>
      <c r="B14" s="168" t="s">
        <v>11</v>
      </c>
      <c r="C14" s="169" t="s">
        <v>2</v>
      </c>
      <c r="D14" s="170">
        <v>450</v>
      </c>
      <c r="E14" s="141">
        <v>26</v>
      </c>
      <c r="F14" s="199">
        <f t="shared" si="0"/>
        <v>11700</v>
      </c>
      <c r="G14" s="118"/>
      <c r="H14" s="118"/>
      <c r="I14" s="118"/>
      <c r="J14" s="118"/>
      <c r="K14" s="139"/>
      <c r="L14" s="140"/>
    </row>
    <row r="15" spans="1:12" ht="25.5" x14ac:dyDescent="0.2">
      <c r="A15" s="167">
        <v>10</v>
      </c>
      <c r="B15" s="168" t="s">
        <v>12</v>
      </c>
      <c r="C15" s="169" t="s">
        <v>2</v>
      </c>
      <c r="D15" s="170">
        <f>3000+2000</f>
        <v>5000</v>
      </c>
      <c r="E15" s="141">
        <v>17.2</v>
      </c>
      <c r="F15" s="199">
        <f t="shared" si="0"/>
        <v>86000</v>
      </c>
      <c r="G15" s="118"/>
      <c r="H15" s="118"/>
      <c r="I15" s="118"/>
      <c r="J15" s="118"/>
      <c r="K15" s="139"/>
      <c r="L15" s="140"/>
    </row>
    <row r="16" spans="1:12" ht="28.5" x14ac:dyDescent="0.2">
      <c r="A16" s="167">
        <v>11</v>
      </c>
      <c r="B16" s="168" t="s">
        <v>125</v>
      </c>
      <c r="C16" s="169" t="s">
        <v>84</v>
      </c>
      <c r="D16" s="170">
        <v>12000</v>
      </c>
      <c r="E16" s="141">
        <v>3.9</v>
      </c>
      <c r="F16" s="199">
        <f t="shared" si="0"/>
        <v>46800</v>
      </c>
      <c r="G16" s="142"/>
      <c r="H16" s="142"/>
      <c r="I16" s="142"/>
      <c r="J16" s="142"/>
      <c r="K16" s="139"/>
      <c r="L16" s="140"/>
    </row>
    <row r="17" spans="1:14" ht="25.5" x14ac:dyDescent="0.2">
      <c r="A17" s="167">
        <v>12</v>
      </c>
      <c r="B17" s="168" t="s">
        <v>13</v>
      </c>
      <c r="C17" s="169" t="s">
        <v>85</v>
      </c>
      <c r="D17" s="170">
        <v>588</v>
      </c>
      <c r="E17" s="141">
        <v>34.5</v>
      </c>
      <c r="F17" s="199">
        <f t="shared" si="0"/>
        <v>20286</v>
      </c>
      <c r="G17" s="118"/>
      <c r="H17" s="118"/>
      <c r="I17" s="118"/>
      <c r="J17" s="118"/>
      <c r="K17" s="139"/>
      <c r="L17" s="140"/>
    </row>
    <row r="18" spans="1:14" ht="25.5" x14ac:dyDescent="0.2">
      <c r="A18" s="167">
        <v>13</v>
      </c>
      <c r="B18" s="168" t="s">
        <v>100</v>
      </c>
      <c r="C18" s="169" t="s">
        <v>85</v>
      </c>
      <c r="D18" s="170">
        <v>340</v>
      </c>
      <c r="E18" s="141">
        <v>35</v>
      </c>
      <c r="F18" s="199">
        <f t="shared" si="0"/>
        <v>11900</v>
      </c>
      <c r="G18" s="118"/>
      <c r="H18" s="118"/>
      <c r="I18" s="118"/>
      <c r="J18" s="118"/>
      <c r="K18" s="139"/>
      <c r="L18" s="140"/>
    </row>
    <row r="19" spans="1:14" ht="25.5" x14ac:dyDescent="0.2">
      <c r="A19" s="167">
        <v>14</v>
      </c>
      <c r="B19" s="168" t="s">
        <v>14</v>
      </c>
      <c r="C19" s="169" t="s">
        <v>85</v>
      </c>
      <c r="D19" s="170">
        <f>9300+9000</f>
        <v>18300</v>
      </c>
      <c r="E19" s="141">
        <v>3.5</v>
      </c>
      <c r="F19" s="199">
        <f t="shared" si="0"/>
        <v>64050</v>
      </c>
      <c r="G19" s="118"/>
      <c r="H19" s="118"/>
      <c r="I19" s="118"/>
      <c r="J19" s="118"/>
      <c r="K19" s="139"/>
      <c r="L19" s="140"/>
    </row>
    <row r="20" spans="1:14" ht="15.75" x14ac:dyDescent="0.2">
      <c r="A20" s="167">
        <v>15</v>
      </c>
      <c r="B20" s="168" t="s">
        <v>15</v>
      </c>
      <c r="C20" s="169" t="s">
        <v>85</v>
      </c>
      <c r="D20" s="170">
        <f>6300+8000</f>
        <v>14300</v>
      </c>
      <c r="E20" s="141">
        <v>0.5</v>
      </c>
      <c r="F20" s="199">
        <f t="shared" si="0"/>
        <v>7150</v>
      </c>
      <c r="G20" s="118"/>
      <c r="H20" s="118"/>
      <c r="I20" s="118"/>
      <c r="J20" s="118"/>
      <c r="K20" s="139"/>
      <c r="L20" s="140"/>
      <c r="N20" s="143"/>
    </row>
    <row r="21" spans="1:14" ht="25.5" x14ac:dyDescent="0.2">
      <c r="A21" s="167">
        <v>16</v>
      </c>
      <c r="B21" s="168" t="s">
        <v>16</v>
      </c>
      <c r="C21" s="169" t="s">
        <v>85</v>
      </c>
      <c r="D21" s="170">
        <f>6300+7000</f>
        <v>13300</v>
      </c>
      <c r="E21" s="141">
        <v>2.5</v>
      </c>
      <c r="F21" s="199">
        <f t="shared" si="0"/>
        <v>33250</v>
      </c>
      <c r="G21" s="118"/>
      <c r="H21" s="118"/>
      <c r="I21" s="118"/>
      <c r="J21" s="118"/>
      <c r="K21" s="139"/>
      <c r="L21" s="140"/>
    </row>
    <row r="22" spans="1:14" ht="25.5" x14ac:dyDescent="0.2">
      <c r="A22" s="167">
        <v>17</v>
      </c>
      <c r="B22" s="168" t="s">
        <v>17</v>
      </c>
      <c r="C22" s="169" t="s">
        <v>85</v>
      </c>
      <c r="D22" s="170">
        <f>6300+7000</f>
        <v>13300</v>
      </c>
      <c r="E22" s="141">
        <v>0.1</v>
      </c>
      <c r="F22" s="199">
        <f t="shared" si="0"/>
        <v>1330</v>
      </c>
      <c r="G22" s="118"/>
      <c r="H22" s="118"/>
      <c r="I22" s="118"/>
      <c r="J22" s="118"/>
      <c r="K22" s="139"/>
      <c r="L22" s="140"/>
    </row>
    <row r="23" spans="1:14" ht="25.5" x14ac:dyDescent="0.2">
      <c r="A23" s="167">
        <v>18</v>
      </c>
      <c r="B23" s="168" t="s">
        <v>18</v>
      </c>
      <c r="C23" s="169" t="s">
        <v>85</v>
      </c>
      <c r="D23" s="170">
        <f>100+200</f>
        <v>300</v>
      </c>
      <c r="E23" s="141">
        <v>13</v>
      </c>
      <c r="F23" s="199">
        <f t="shared" si="0"/>
        <v>3900</v>
      </c>
      <c r="G23" s="118"/>
      <c r="H23" s="118"/>
      <c r="I23" s="118"/>
      <c r="J23" s="118"/>
      <c r="K23" s="139"/>
      <c r="L23" s="140"/>
    </row>
    <row r="24" spans="1:14" ht="15.75" x14ac:dyDescent="0.2">
      <c r="A24" s="163">
        <v>19</v>
      </c>
      <c r="B24" s="164" t="s">
        <v>19</v>
      </c>
      <c r="C24" s="165" t="s">
        <v>85</v>
      </c>
      <c r="D24" s="166">
        <f>100+200</f>
        <v>300</v>
      </c>
      <c r="E24" s="138">
        <v>6.5</v>
      </c>
      <c r="F24" s="199">
        <f t="shared" si="0"/>
        <v>1950</v>
      </c>
      <c r="G24" s="118"/>
      <c r="H24" s="118"/>
      <c r="I24" s="118"/>
      <c r="J24" s="118"/>
      <c r="K24" s="139"/>
      <c r="L24" s="140"/>
    </row>
    <row r="25" spans="1:14" ht="25.5" x14ac:dyDescent="0.2">
      <c r="A25" s="167">
        <v>20</v>
      </c>
      <c r="B25" s="168" t="s">
        <v>20</v>
      </c>
      <c r="C25" s="169" t="s">
        <v>85</v>
      </c>
      <c r="D25" s="170">
        <f>200+200</f>
        <v>400</v>
      </c>
      <c r="E25" s="141">
        <v>5.8</v>
      </c>
      <c r="F25" s="199">
        <f t="shared" si="0"/>
        <v>2320</v>
      </c>
      <c r="G25" s="118"/>
      <c r="H25" s="118"/>
      <c r="I25" s="118"/>
      <c r="J25" s="118"/>
      <c r="K25" s="139"/>
      <c r="L25" s="140"/>
    </row>
    <row r="26" spans="1:14" ht="15.75" x14ac:dyDescent="0.2">
      <c r="A26" s="167">
        <v>21</v>
      </c>
      <c r="B26" s="168" t="s">
        <v>21</v>
      </c>
      <c r="C26" s="169" t="s">
        <v>85</v>
      </c>
      <c r="D26" s="170">
        <f>200+400</f>
        <v>600</v>
      </c>
      <c r="E26" s="141">
        <v>2.5</v>
      </c>
      <c r="F26" s="199">
        <f t="shared" si="0"/>
        <v>1500</v>
      </c>
      <c r="G26" s="118"/>
      <c r="H26" s="118"/>
      <c r="I26" s="118"/>
      <c r="J26" s="118"/>
      <c r="K26" s="139"/>
      <c r="L26" s="140"/>
    </row>
    <row r="27" spans="1:14" ht="15.75" x14ac:dyDescent="0.2">
      <c r="A27" s="167">
        <v>22</v>
      </c>
      <c r="B27" s="168" t="s">
        <v>22</v>
      </c>
      <c r="C27" s="169" t="s">
        <v>85</v>
      </c>
      <c r="D27" s="170">
        <v>16028</v>
      </c>
      <c r="E27" s="141">
        <v>18</v>
      </c>
      <c r="F27" s="199">
        <f t="shared" si="0"/>
        <v>288504</v>
      </c>
      <c r="G27" s="118"/>
      <c r="H27" s="118"/>
      <c r="I27" s="118"/>
      <c r="J27" s="118"/>
      <c r="K27" s="139"/>
      <c r="L27" s="140"/>
    </row>
    <row r="28" spans="1:14" ht="15.75" x14ac:dyDescent="0.2">
      <c r="A28" s="167">
        <v>23</v>
      </c>
      <c r="B28" s="168" t="s">
        <v>23</v>
      </c>
      <c r="C28" s="169" t="s">
        <v>84</v>
      </c>
      <c r="D28" s="170">
        <v>36000</v>
      </c>
      <c r="E28" s="141">
        <v>2.5</v>
      </c>
      <c r="F28" s="199">
        <f t="shared" si="0"/>
        <v>90000</v>
      </c>
      <c r="G28" s="118"/>
      <c r="H28" s="118"/>
      <c r="I28" s="118"/>
      <c r="J28" s="118"/>
      <c r="K28" s="139"/>
      <c r="L28" s="140"/>
    </row>
    <row r="29" spans="1:14" ht="15.75" x14ac:dyDescent="0.2">
      <c r="A29" s="167">
        <v>24</v>
      </c>
      <c r="B29" s="168" t="s">
        <v>24</v>
      </c>
      <c r="C29" s="169" t="s">
        <v>84</v>
      </c>
      <c r="D29" s="170">
        <v>3600</v>
      </c>
      <c r="E29" s="141">
        <v>0.2</v>
      </c>
      <c r="F29" s="199">
        <f t="shared" si="0"/>
        <v>720</v>
      </c>
      <c r="G29" s="118"/>
      <c r="H29" s="118"/>
      <c r="I29" s="118"/>
      <c r="J29" s="118"/>
      <c r="K29" s="139"/>
      <c r="L29" s="140"/>
    </row>
    <row r="30" spans="1:14" ht="15.75" x14ac:dyDescent="0.2">
      <c r="A30" s="167">
        <v>25</v>
      </c>
      <c r="B30" s="168" t="s">
        <v>25</v>
      </c>
      <c r="C30" s="169" t="s">
        <v>84</v>
      </c>
      <c r="D30" s="170">
        <v>83886</v>
      </c>
      <c r="E30" s="141">
        <v>8.5500000000000007</v>
      </c>
      <c r="F30" s="199">
        <f t="shared" si="0"/>
        <v>717225.3</v>
      </c>
      <c r="G30" s="118"/>
      <c r="H30" s="118"/>
      <c r="I30" s="118"/>
      <c r="J30" s="118"/>
      <c r="K30" s="139"/>
      <c r="L30" s="140"/>
    </row>
    <row r="31" spans="1:14" ht="15.75" x14ac:dyDescent="0.2">
      <c r="A31" s="167">
        <v>26</v>
      </c>
      <c r="B31" s="168" t="s">
        <v>26</v>
      </c>
      <c r="C31" s="169" t="s">
        <v>84</v>
      </c>
      <c r="D31" s="170">
        <f>7500*4</f>
        <v>30000</v>
      </c>
      <c r="E31" s="141">
        <v>0.5</v>
      </c>
      <c r="F31" s="199">
        <f t="shared" si="0"/>
        <v>15000</v>
      </c>
      <c r="G31" s="118"/>
      <c r="H31" s="118"/>
      <c r="I31" s="118"/>
      <c r="J31" s="118"/>
      <c r="K31" s="139"/>
      <c r="L31" s="140"/>
    </row>
    <row r="32" spans="1:14" ht="15.75" x14ac:dyDescent="0.2">
      <c r="A32" s="167">
        <v>27</v>
      </c>
      <c r="B32" s="168" t="s">
        <v>27</v>
      </c>
      <c r="C32" s="169" t="s">
        <v>84</v>
      </c>
      <c r="D32" s="170">
        <f>10000*2</f>
        <v>20000</v>
      </c>
      <c r="E32" s="141">
        <v>2.35</v>
      </c>
      <c r="F32" s="199">
        <f t="shared" si="0"/>
        <v>47000</v>
      </c>
      <c r="G32" s="118"/>
      <c r="H32" s="118"/>
      <c r="I32" s="118"/>
      <c r="J32" s="118"/>
      <c r="K32" s="139"/>
      <c r="L32" s="140"/>
    </row>
    <row r="33" spans="1:12" ht="15.75" x14ac:dyDescent="0.2">
      <c r="A33" s="167">
        <v>28</v>
      </c>
      <c r="B33" s="168" t="s">
        <v>28</v>
      </c>
      <c r="C33" s="169" t="s">
        <v>84</v>
      </c>
      <c r="D33" s="170">
        <f>1800*2</f>
        <v>3600</v>
      </c>
      <c r="E33" s="141">
        <v>0.36</v>
      </c>
      <c r="F33" s="199">
        <f t="shared" si="0"/>
        <v>1296</v>
      </c>
      <c r="G33" s="118"/>
      <c r="H33" s="118"/>
      <c r="I33" s="118"/>
      <c r="J33" s="118"/>
      <c r="K33" s="139"/>
      <c r="L33" s="140"/>
    </row>
    <row r="34" spans="1:12" ht="38.25" x14ac:dyDescent="0.2">
      <c r="A34" s="167">
        <v>29</v>
      </c>
      <c r="B34" s="168" t="s">
        <v>120</v>
      </c>
      <c r="C34" s="169" t="s">
        <v>85</v>
      </c>
      <c r="D34" s="170">
        <v>25</v>
      </c>
      <c r="E34" s="141">
        <v>620</v>
      </c>
      <c r="F34" s="199">
        <f t="shared" si="0"/>
        <v>15500</v>
      </c>
      <c r="G34" s="118"/>
      <c r="H34" s="118"/>
      <c r="I34" s="118"/>
      <c r="J34" s="118"/>
      <c r="K34" s="139"/>
      <c r="L34" s="140"/>
    </row>
    <row r="35" spans="1:12" ht="38.25" x14ac:dyDescent="0.2">
      <c r="A35" s="167">
        <v>30</v>
      </c>
      <c r="B35" s="168" t="s">
        <v>29</v>
      </c>
      <c r="C35" s="169" t="s">
        <v>85</v>
      </c>
      <c r="D35" s="170">
        <v>1.8</v>
      </c>
      <c r="E35" s="141">
        <v>650</v>
      </c>
      <c r="F35" s="199">
        <f t="shared" si="0"/>
        <v>1170</v>
      </c>
      <c r="G35" s="118"/>
      <c r="H35" s="118"/>
      <c r="I35" s="118"/>
      <c r="J35" s="118"/>
      <c r="K35" s="139"/>
      <c r="L35" s="140"/>
    </row>
    <row r="36" spans="1:12" x14ac:dyDescent="0.2">
      <c r="A36" s="167">
        <v>31</v>
      </c>
      <c r="B36" s="168" t="s">
        <v>30</v>
      </c>
      <c r="C36" s="169" t="s">
        <v>3</v>
      </c>
      <c r="D36" s="170">
        <v>1.2</v>
      </c>
      <c r="E36" s="141">
        <v>1550</v>
      </c>
      <c r="F36" s="199">
        <f t="shared" si="0"/>
        <v>1860</v>
      </c>
      <c r="G36" s="118"/>
      <c r="H36" s="118"/>
      <c r="I36" s="118"/>
      <c r="J36" s="118"/>
      <c r="K36" s="139"/>
      <c r="L36" s="140"/>
    </row>
    <row r="37" spans="1:12" ht="38.25" x14ac:dyDescent="0.2">
      <c r="A37" s="167">
        <v>32</v>
      </c>
      <c r="B37" s="168" t="s">
        <v>118</v>
      </c>
      <c r="C37" s="169" t="s">
        <v>3</v>
      </c>
      <c r="D37" s="170">
        <f>21+5</f>
        <v>26</v>
      </c>
      <c r="E37" s="141">
        <v>495.5</v>
      </c>
      <c r="F37" s="199">
        <f t="shared" si="0"/>
        <v>12883</v>
      </c>
      <c r="G37" s="118"/>
      <c r="H37" s="118"/>
      <c r="I37" s="118" t="s">
        <v>131</v>
      </c>
      <c r="J37" s="118"/>
      <c r="K37" s="139"/>
      <c r="L37" s="140"/>
    </row>
    <row r="38" spans="1:12" ht="15.75" x14ac:dyDescent="0.2">
      <c r="A38" s="167">
        <v>33</v>
      </c>
      <c r="B38" s="168" t="s">
        <v>31</v>
      </c>
      <c r="C38" s="169" t="s">
        <v>84</v>
      </c>
      <c r="D38" s="170">
        <f>4500+2000</f>
        <v>6500</v>
      </c>
      <c r="E38" s="141">
        <v>20.2</v>
      </c>
      <c r="F38" s="199">
        <f t="shared" si="0"/>
        <v>131300</v>
      </c>
      <c r="G38" s="118"/>
      <c r="H38" s="118"/>
      <c r="I38" s="118"/>
      <c r="J38" s="118"/>
      <c r="K38" s="139"/>
      <c r="L38" s="140"/>
    </row>
    <row r="39" spans="1:12" ht="38.25" x14ac:dyDescent="0.2">
      <c r="A39" s="167">
        <v>34</v>
      </c>
      <c r="B39" s="168" t="s">
        <v>32</v>
      </c>
      <c r="C39" s="169" t="s">
        <v>84</v>
      </c>
      <c r="D39" s="170">
        <v>1500</v>
      </c>
      <c r="E39" s="141">
        <v>22.8</v>
      </c>
      <c r="F39" s="199">
        <f t="shared" si="0"/>
        <v>34200</v>
      </c>
      <c r="G39" s="118"/>
      <c r="H39" s="118"/>
      <c r="I39" s="118"/>
      <c r="J39" s="118"/>
      <c r="K39" s="139"/>
      <c r="L39" s="140"/>
    </row>
    <row r="40" spans="1:12" ht="15.75" x14ac:dyDescent="0.2">
      <c r="A40" s="167">
        <v>35</v>
      </c>
      <c r="B40" s="168" t="s">
        <v>33</v>
      </c>
      <c r="C40" s="169" t="s">
        <v>84</v>
      </c>
      <c r="D40" s="170">
        <v>9796</v>
      </c>
      <c r="E40" s="141">
        <v>25.2</v>
      </c>
      <c r="F40" s="199">
        <f t="shared" si="0"/>
        <v>246859.19999999998</v>
      </c>
      <c r="G40" s="118"/>
      <c r="H40" s="118"/>
      <c r="I40" s="118"/>
      <c r="J40" s="118"/>
      <c r="K40" s="139"/>
      <c r="L40" s="140"/>
    </row>
    <row r="41" spans="1:12" ht="38.25" x14ac:dyDescent="0.2">
      <c r="A41" s="167">
        <v>36</v>
      </c>
      <c r="B41" s="168" t="s">
        <v>34</v>
      </c>
      <c r="C41" s="169" t="s">
        <v>84</v>
      </c>
      <c r="D41" s="170">
        <v>250</v>
      </c>
      <c r="E41" s="141">
        <v>27</v>
      </c>
      <c r="F41" s="199">
        <f t="shared" si="0"/>
        <v>6750</v>
      </c>
      <c r="G41" s="118"/>
      <c r="H41" s="118"/>
      <c r="I41" s="118"/>
      <c r="J41" s="118"/>
      <c r="K41" s="139"/>
      <c r="L41" s="140"/>
    </row>
    <row r="42" spans="1:12" ht="15.75" x14ac:dyDescent="0.2">
      <c r="A42" s="163">
        <v>37</v>
      </c>
      <c r="B42" s="164" t="s">
        <v>35</v>
      </c>
      <c r="C42" s="165" t="s">
        <v>84</v>
      </c>
      <c r="D42" s="166">
        <v>2500</v>
      </c>
      <c r="E42" s="138">
        <v>3.2</v>
      </c>
      <c r="F42" s="199">
        <f t="shared" si="0"/>
        <v>8000</v>
      </c>
      <c r="G42" s="118"/>
      <c r="H42" s="118"/>
      <c r="I42" s="118"/>
      <c r="J42" s="118"/>
      <c r="K42" s="139"/>
      <c r="L42" s="140"/>
    </row>
    <row r="43" spans="1:12" ht="15.75" x14ac:dyDescent="0.2">
      <c r="A43" s="167">
        <v>38</v>
      </c>
      <c r="B43" s="168" t="s">
        <v>36</v>
      </c>
      <c r="C43" s="169" t="s">
        <v>84</v>
      </c>
      <c r="D43" s="170">
        <v>2700</v>
      </c>
      <c r="E43" s="141">
        <v>4.2</v>
      </c>
      <c r="F43" s="199">
        <f t="shared" si="0"/>
        <v>11340</v>
      </c>
      <c r="G43" s="118"/>
      <c r="H43" s="118"/>
      <c r="I43" s="118"/>
      <c r="J43" s="118"/>
      <c r="K43" s="139"/>
      <c r="L43" s="140"/>
    </row>
    <row r="44" spans="1:12" ht="25.5" x14ac:dyDescent="0.2">
      <c r="A44" s="167">
        <v>39</v>
      </c>
      <c r="B44" s="168" t="s">
        <v>37</v>
      </c>
      <c r="C44" s="169" t="s">
        <v>84</v>
      </c>
      <c r="D44" s="170">
        <v>2500</v>
      </c>
      <c r="E44" s="141">
        <v>3.4</v>
      </c>
      <c r="F44" s="199">
        <f t="shared" si="0"/>
        <v>8500</v>
      </c>
      <c r="G44" s="118"/>
      <c r="H44" s="118"/>
      <c r="I44" s="118"/>
      <c r="J44" s="118"/>
      <c r="K44" s="139"/>
      <c r="L44" s="140"/>
    </row>
    <row r="45" spans="1:12" ht="15.75" x14ac:dyDescent="0.2">
      <c r="A45" s="167">
        <v>40</v>
      </c>
      <c r="B45" s="168" t="s">
        <v>38</v>
      </c>
      <c r="C45" s="169" t="s">
        <v>85</v>
      </c>
      <c r="D45" s="170">
        <f>450*10</f>
        <v>4500</v>
      </c>
      <c r="E45" s="141">
        <v>1.2</v>
      </c>
      <c r="F45" s="199">
        <f t="shared" si="0"/>
        <v>5400</v>
      </c>
      <c r="G45" s="118"/>
      <c r="H45" s="118"/>
      <c r="I45" s="118"/>
      <c r="J45" s="118"/>
      <c r="K45" s="139"/>
      <c r="L45" s="140"/>
    </row>
    <row r="46" spans="1:12" x14ac:dyDescent="0.2">
      <c r="A46" s="167">
        <v>41</v>
      </c>
      <c r="B46" s="168" t="s">
        <v>39</v>
      </c>
      <c r="C46" s="169" t="s">
        <v>2</v>
      </c>
      <c r="D46" s="170">
        <f>90+10</f>
        <v>100</v>
      </c>
      <c r="E46" s="141">
        <v>8.9</v>
      </c>
      <c r="F46" s="199">
        <f t="shared" si="0"/>
        <v>890</v>
      </c>
      <c r="G46" s="118"/>
      <c r="H46" s="118"/>
      <c r="I46" s="118"/>
      <c r="J46" s="118"/>
      <c r="K46" s="139"/>
      <c r="L46" s="140"/>
    </row>
    <row r="47" spans="1:12" ht="15" customHeight="1" x14ac:dyDescent="0.2">
      <c r="A47" s="167">
        <v>42</v>
      </c>
      <c r="B47" s="168" t="s">
        <v>40</v>
      </c>
      <c r="C47" s="169" t="s">
        <v>2</v>
      </c>
      <c r="D47" s="170">
        <v>120</v>
      </c>
      <c r="E47" s="141">
        <v>5.6</v>
      </c>
      <c r="F47" s="199">
        <f t="shared" si="0"/>
        <v>672</v>
      </c>
      <c r="G47" s="118"/>
      <c r="H47" s="118"/>
      <c r="I47" s="118"/>
      <c r="J47" s="118"/>
      <c r="K47" s="139"/>
      <c r="L47" s="140"/>
    </row>
    <row r="48" spans="1:12" ht="15.75" customHeight="1" x14ac:dyDescent="0.2">
      <c r="A48" s="163">
        <v>43</v>
      </c>
      <c r="B48" s="164" t="s">
        <v>41</v>
      </c>
      <c r="C48" s="165" t="s">
        <v>2</v>
      </c>
      <c r="D48" s="166">
        <f>600+500</f>
        <v>1100</v>
      </c>
      <c r="E48" s="138">
        <v>9.4499999999999993</v>
      </c>
      <c r="F48" s="199">
        <f t="shared" si="0"/>
        <v>10395</v>
      </c>
      <c r="G48" s="118"/>
      <c r="H48" s="118"/>
      <c r="I48" s="118"/>
      <c r="J48" s="118"/>
      <c r="K48" s="139"/>
      <c r="L48" s="140"/>
    </row>
    <row r="49" spans="1:14" ht="15.75" customHeight="1" x14ac:dyDescent="0.2">
      <c r="A49" s="167">
        <v>44</v>
      </c>
      <c r="B49" s="168" t="s">
        <v>42</v>
      </c>
      <c r="C49" s="169" t="s">
        <v>2</v>
      </c>
      <c r="D49" s="170">
        <f>500+300</f>
        <v>800</v>
      </c>
      <c r="E49" s="141">
        <v>13.9</v>
      </c>
      <c r="F49" s="199">
        <f t="shared" si="0"/>
        <v>11120</v>
      </c>
      <c r="G49" s="118"/>
      <c r="H49" s="118"/>
      <c r="I49" s="118"/>
      <c r="J49" s="118"/>
      <c r="K49" s="139"/>
      <c r="L49" s="140"/>
    </row>
    <row r="50" spans="1:14" ht="15.75" customHeight="1" x14ac:dyDescent="0.2">
      <c r="A50" s="163">
        <v>45</v>
      </c>
      <c r="B50" s="164" t="s">
        <v>43</v>
      </c>
      <c r="C50" s="165" t="s">
        <v>2</v>
      </c>
      <c r="D50" s="166">
        <f>450+300</f>
        <v>750</v>
      </c>
      <c r="E50" s="138">
        <v>25.9</v>
      </c>
      <c r="F50" s="199">
        <f t="shared" si="0"/>
        <v>19425</v>
      </c>
      <c r="G50" s="118"/>
      <c r="H50" s="118"/>
      <c r="I50" s="118"/>
      <c r="J50" s="118"/>
      <c r="K50" s="139"/>
      <c r="L50" s="140"/>
    </row>
    <row r="51" spans="1:14" ht="15" customHeight="1" x14ac:dyDescent="0.2">
      <c r="A51" s="163">
        <v>46</v>
      </c>
      <c r="B51" s="164" t="s">
        <v>44</v>
      </c>
      <c r="C51" s="165" t="s">
        <v>2</v>
      </c>
      <c r="D51" s="166">
        <f>400+200</f>
        <v>600</v>
      </c>
      <c r="E51" s="138">
        <v>38.4</v>
      </c>
      <c r="F51" s="199">
        <f t="shared" si="0"/>
        <v>23040</v>
      </c>
      <c r="G51" s="118"/>
      <c r="H51" s="118"/>
      <c r="I51" s="118"/>
      <c r="J51" s="118"/>
      <c r="K51" s="139"/>
      <c r="L51" s="140"/>
    </row>
    <row r="52" spans="1:14" ht="25.5" x14ac:dyDescent="0.2">
      <c r="A52" s="163">
        <v>47</v>
      </c>
      <c r="B52" s="164" t="s">
        <v>45</v>
      </c>
      <c r="C52" s="165" t="s">
        <v>2</v>
      </c>
      <c r="D52" s="166">
        <f>20*5</f>
        <v>100</v>
      </c>
      <c r="E52" s="138">
        <v>50</v>
      </c>
      <c r="F52" s="199">
        <f t="shared" si="0"/>
        <v>5000</v>
      </c>
      <c r="G52" s="118"/>
      <c r="H52" s="118"/>
      <c r="I52" s="118"/>
      <c r="J52" s="118"/>
      <c r="K52" s="139"/>
      <c r="L52" s="140"/>
    </row>
    <row r="53" spans="1:14" ht="25.5" x14ac:dyDescent="0.2">
      <c r="A53" s="167">
        <v>48</v>
      </c>
      <c r="B53" s="168" t="s">
        <v>46</v>
      </c>
      <c r="C53" s="169" t="s">
        <v>2</v>
      </c>
      <c r="D53" s="170">
        <f>40*3</f>
        <v>120</v>
      </c>
      <c r="E53" s="141">
        <v>70</v>
      </c>
      <c r="F53" s="199">
        <f t="shared" si="0"/>
        <v>8400</v>
      </c>
      <c r="G53" s="118"/>
      <c r="H53" s="118"/>
      <c r="I53" s="118"/>
      <c r="J53" s="118"/>
      <c r="K53" s="139"/>
      <c r="L53" s="140"/>
    </row>
    <row r="54" spans="1:14" ht="25.5" x14ac:dyDescent="0.2">
      <c r="A54" s="163">
        <v>49</v>
      </c>
      <c r="B54" s="164" t="s">
        <v>47</v>
      </c>
      <c r="C54" s="165" t="s">
        <v>2</v>
      </c>
      <c r="D54" s="166">
        <v>30</v>
      </c>
      <c r="E54" s="138">
        <v>120</v>
      </c>
      <c r="F54" s="199">
        <f t="shared" si="0"/>
        <v>3600</v>
      </c>
      <c r="G54" s="118"/>
      <c r="H54" s="118"/>
      <c r="I54" s="118"/>
      <c r="J54" s="118"/>
      <c r="K54" s="139"/>
      <c r="L54" s="140"/>
    </row>
    <row r="55" spans="1:14" ht="33" customHeight="1" x14ac:dyDescent="0.2">
      <c r="A55" s="167">
        <v>50</v>
      </c>
      <c r="B55" s="168" t="s">
        <v>48</v>
      </c>
      <c r="C55" s="169" t="s">
        <v>85</v>
      </c>
      <c r="D55" s="170">
        <v>2.4</v>
      </c>
      <c r="E55" s="141">
        <v>400</v>
      </c>
      <c r="F55" s="199">
        <f t="shared" si="0"/>
        <v>960</v>
      </c>
      <c r="G55" s="118"/>
      <c r="H55" s="118"/>
      <c r="I55" s="118"/>
      <c r="J55" s="118"/>
      <c r="K55" s="139"/>
      <c r="L55" s="140"/>
      <c r="N55" s="144"/>
    </row>
    <row r="56" spans="1:14" ht="25.5" x14ac:dyDescent="0.2">
      <c r="A56" s="163">
        <v>51</v>
      </c>
      <c r="B56" s="164" t="s">
        <v>49</v>
      </c>
      <c r="C56" s="165" t="s">
        <v>85</v>
      </c>
      <c r="D56" s="166">
        <v>3.5</v>
      </c>
      <c r="E56" s="138">
        <v>1120</v>
      </c>
      <c r="F56" s="199">
        <f t="shared" si="0"/>
        <v>3920</v>
      </c>
      <c r="G56" s="118"/>
      <c r="H56" s="118"/>
      <c r="I56" s="118"/>
      <c r="J56" s="118"/>
      <c r="K56" s="139"/>
      <c r="L56" s="140"/>
    </row>
    <row r="57" spans="1:14" ht="25.5" x14ac:dyDescent="0.2">
      <c r="A57" s="167">
        <v>52</v>
      </c>
      <c r="B57" s="168" t="s">
        <v>50</v>
      </c>
      <c r="C57" s="169" t="s">
        <v>85</v>
      </c>
      <c r="D57" s="170">
        <f>4*2</f>
        <v>8</v>
      </c>
      <c r="E57" s="141">
        <v>1180</v>
      </c>
      <c r="F57" s="199">
        <f t="shared" si="0"/>
        <v>9440</v>
      </c>
      <c r="G57" s="118"/>
      <c r="H57" s="118"/>
      <c r="I57" s="118"/>
      <c r="J57" s="118"/>
      <c r="K57" s="139"/>
      <c r="L57" s="140"/>
    </row>
    <row r="58" spans="1:14" ht="25.5" x14ac:dyDescent="0.2">
      <c r="A58" s="167">
        <v>53</v>
      </c>
      <c r="B58" s="168" t="s">
        <v>51</v>
      </c>
      <c r="C58" s="169" t="s">
        <v>85</v>
      </c>
      <c r="D58" s="170">
        <f>2.4+1.2</f>
        <v>3.5999999999999996</v>
      </c>
      <c r="E58" s="141">
        <v>1450</v>
      </c>
      <c r="F58" s="199">
        <f t="shared" si="0"/>
        <v>5219.9999999999991</v>
      </c>
      <c r="G58" s="118"/>
      <c r="H58" s="118"/>
      <c r="I58" s="118"/>
      <c r="J58" s="118"/>
      <c r="K58" s="139"/>
      <c r="L58" s="140"/>
    </row>
    <row r="59" spans="1:14" ht="25.5" x14ac:dyDescent="0.2">
      <c r="A59" s="167">
        <v>54</v>
      </c>
      <c r="B59" s="168" t="s">
        <v>52</v>
      </c>
      <c r="C59" s="169" t="s">
        <v>7</v>
      </c>
      <c r="D59" s="170">
        <v>15</v>
      </c>
      <c r="E59" s="141">
        <v>650</v>
      </c>
      <c r="F59" s="199">
        <f t="shared" si="0"/>
        <v>9750</v>
      </c>
      <c r="G59" s="118"/>
      <c r="H59" s="118"/>
      <c r="I59" s="118"/>
      <c r="J59" s="118"/>
      <c r="K59" s="139"/>
      <c r="L59" s="140"/>
    </row>
    <row r="60" spans="1:14" ht="25.5" x14ac:dyDescent="0.2">
      <c r="A60" s="167">
        <v>55</v>
      </c>
      <c r="B60" s="168" t="s">
        <v>53</v>
      </c>
      <c r="C60" s="169" t="s">
        <v>7</v>
      </c>
      <c r="D60" s="170">
        <f>9+3</f>
        <v>12</v>
      </c>
      <c r="E60" s="141">
        <v>750</v>
      </c>
      <c r="F60" s="199">
        <f t="shared" si="0"/>
        <v>9000</v>
      </c>
      <c r="G60" s="118"/>
      <c r="H60" s="118"/>
      <c r="I60" s="118"/>
      <c r="J60" s="118"/>
      <c r="K60" s="139"/>
      <c r="L60" s="140"/>
    </row>
    <row r="61" spans="1:14" ht="17.25" customHeight="1" x14ac:dyDescent="0.2">
      <c r="A61" s="167">
        <v>56</v>
      </c>
      <c r="B61" s="168" t="s">
        <v>54</v>
      </c>
      <c r="C61" s="169" t="s">
        <v>7</v>
      </c>
      <c r="D61" s="170">
        <v>15</v>
      </c>
      <c r="E61" s="141">
        <v>200</v>
      </c>
      <c r="F61" s="199">
        <f t="shared" si="0"/>
        <v>3000</v>
      </c>
      <c r="G61" s="118"/>
      <c r="H61" s="118"/>
      <c r="I61" s="118"/>
      <c r="J61" s="118"/>
      <c r="K61" s="139"/>
      <c r="L61" s="140"/>
    </row>
    <row r="62" spans="1:14" ht="25.5" x14ac:dyDescent="0.2">
      <c r="A62" s="163">
        <v>57</v>
      </c>
      <c r="B62" s="164" t="s">
        <v>55</v>
      </c>
      <c r="C62" s="165" t="s">
        <v>7</v>
      </c>
      <c r="D62" s="166">
        <f>2+1</f>
        <v>3</v>
      </c>
      <c r="E62" s="138">
        <v>350</v>
      </c>
      <c r="F62" s="199">
        <f t="shared" si="0"/>
        <v>1050</v>
      </c>
      <c r="G62" s="118"/>
      <c r="H62" s="118"/>
      <c r="I62" s="118"/>
      <c r="J62" s="118"/>
      <c r="K62" s="139"/>
      <c r="L62" s="140"/>
    </row>
    <row r="63" spans="1:14" ht="25.5" x14ac:dyDescent="0.2">
      <c r="A63" s="167">
        <v>58</v>
      </c>
      <c r="B63" s="168" t="s">
        <v>56</v>
      </c>
      <c r="C63" s="169" t="s">
        <v>7</v>
      </c>
      <c r="D63" s="170">
        <f>26+7</f>
        <v>33</v>
      </c>
      <c r="E63" s="141">
        <v>190</v>
      </c>
      <c r="F63" s="199">
        <f t="shared" si="0"/>
        <v>6270</v>
      </c>
      <c r="G63" s="118"/>
      <c r="H63" s="118"/>
      <c r="I63" s="118"/>
      <c r="J63" s="118"/>
      <c r="K63" s="139"/>
      <c r="L63" s="140"/>
    </row>
    <row r="64" spans="1:14" ht="25.5" x14ac:dyDescent="0.2">
      <c r="A64" s="167">
        <v>59</v>
      </c>
      <c r="B64" s="168" t="s">
        <v>57</v>
      </c>
      <c r="C64" s="169" t="s">
        <v>7</v>
      </c>
      <c r="D64" s="170">
        <f>17+4</f>
        <v>21</v>
      </c>
      <c r="E64" s="141">
        <v>170</v>
      </c>
      <c r="F64" s="199">
        <f t="shared" si="0"/>
        <v>3570</v>
      </c>
      <c r="G64" s="118"/>
      <c r="H64" s="118"/>
      <c r="I64" s="118"/>
      <c r="J64" s="118"/>
      <c r="K64" s="139"/>
      <c r="L64" s="140"/>
    </row>
    <row r="65" spans="1:12" ht="25.5" x14ac:dyDescent="0.2">
      <c r="A65" s="163">
        <v>60</v>
      </c>
      <c r="B65" s="164" t="s">
        <v>58</v>
      </c>
      <c r="C65" s="165" t="s">
        <v>7</v>
      </c>
      <c r="D65" s="166">
        <f>17+4</f>
        <v>21</v>
      </c>
      <c r="E65" s="138">
        <v>190</v>
      </c>
      <c r="F65" s="199">
        <f t="shared" si="0"/>
        <v>3990</v>
      </c>
      <c r="G65" s="118"/>
      <c r="H65" s="118"/>
      <c r="I65" s="118"/>
      <c r="J65" s="118"/>
      <c r="K65" s="139"/>
      <c r="L65" s="140"/>
    </row>
    <row r="66" spans="1:12" ht="25.5" x14ac:dyDescent="0.2">
      <c r="A66" s="167">
        <v>61</v>
      </c>
      <c r="B66" s="168" t="s">
        <v>59</v>
      </c>
      <c r="C66" s="169" t="s">
        <v>7</v>
      </c>
      <c r="D66" s="170">
        <f>15+7</f>
        <v>22</v>
      </c>
      <c r="E66" s="141">
        <v>160</v>
      </c>
      <c r="F66" s="199">
        <f t="shared" si="0"/>
        <v>3520</v>
      </c>
      <c r="G66" s="118"/>
      <c r="H66" s="118"/>
      <c r="I66" s="118"/>
      <c r="J66" s="118"/>
      <c r="K66" s="139"/>
      <c r="L66" s="140"/>
    </row>
    <row r="67" spans="1:12" ht="17.25" customHeight="1" x14ac:dyDescent="0.2">
      <c r="A67" s="167">
        <v>62</v>
      </c>
      <c r="B67" s="168" t="s">
        <v>60</v>
      </c>
      <c r="C67" s="169" t="s">
        <v>7</v>
      </c>
      <c r="D67" s="170">
        <f>30*3</f>
        <v>90</v>
      </c>
      <c r="E67" s="141">
        <v>30</v>
      </c>
      <c r="F67" s="199">
        <f t="shared" si="0"/>
        <v>2700</v>
      </c>
      <c r="G67" s="118"/>
      <c r="H67" s="118"/>
      <c r="I67" s="118"/>
      <c r="J67" s="118"/>
      <c r="K67" s="139"/>
      <c r="L67" s="140"/>
    </row>
    <row r="68" spans="1:12" ht="25.5" x14ac:dyDescent="0.2">
      <c r="A68" s="167">
        <v>63</v>
      </c>
      <c r="B68" s="168" t="s">
        <v>61</v>
      </c>
      <c r="C68" s="169" t="s">
        <v>84</v>
      </c>
      <c r="D68" s="170">
        <f>220+70</f>
        <v>290</v>
      </c>
      <c r="E68" s="141">
        <v>10.5</v>
      </c>
      <c r="F68" s="199">
        <f t="shared" si="0"/>
        <v>3045</v>
      </c>
      <c r="G68" s="118"/>
      <c r="H68" s="118"/>
      <c r="I68" s="118"/>
      <c r="J68" s="118"/>
      <c r="K68" s="139"/>
      <c r="L68" s="140"/>
    </row>
    <row r="69" spans="1:12" ht="40.5" customHeight="1" x14ac:dyDescent="0.2">
      <c r="A69" s="167">
        <v>64</v>
      </c>
      <c r="B69" s="168" t="s">
        <v>62</v>
      </c>
      <c r="C69" s="169" t="s">
        <v>84</v>
      </c>
      <c r="D69" s="170">
        <f>140+30</f>
        <v>170</v>
      </c>
      <c r="E69" s="141">
        <v>16.8</v>
      </c>
      <c r="F69" s="199">
        <f t="shared" si="0"/>
        <v>2856</v>
      </c>
      <c r="G69" s="118"/>
      <c r="H69" s="118"/>
      <c r="I69" s="118"/>
      <c r="J69" s="118"/>
      <c r="K69" s="139"/>
      <c r="L69" s="140"/>
    </row>
    <row r="70" spans="1:12" ht="25.5" x14ac:dyDescent="0.2">
      <c r="A70" s="167">
        <v>65</v>
      </c>
      <c r="B70" s="168" t="s">
        <v>63</v>
      </c>
      <c r="C70" s="169" t="s">
        <v>84</v>
      </c>
      <c r="D70" s="170">
        <f>210+80</f>
        <v>290</v>
      </c>
      <c r="E70" s="141">
        <v>46</v>
      </c>
      <c r="F70" s="199">
        <f t="shared" si="0"/>
        <v>13340</v>
      </c>
      <c r="G70" s="118"/>
      <c r="H70" s="118"/>
      <c r="I70" s="118"/>
      <c r="J70" s="118"/>
      <c r="K70" s="139"/>
      <c r="L70" s="140"/>
    </row>
    <row r="71" spans="1:12" ht="25.5" x14ac:dyDescent="0.2">
      <c r="A71" s="167">
        <v>66</v>
      </c>
      <c r="B71" s="168" t="s">
        <v>64</v>
      </c>
      <c r="C71" s="169" t="s">
        <v>83</v>
      </c>
      <c r="D71" s="170">
        <f>650+40</f>
        <v>690</v>
      </c>
      <c r="E71" s="141">
        <v>70</v>
      </c>
      <c r="F71" s="199">
        <f t="shared" ref="F71:F121" si="1">D71*E71</f>
        <v>48300</v>
      </c>
      <c r="G71" s="118"/>
      <c r="H71" s="118"/>
      <c r="I71" s="118"/>
      <c r="J71" s="118"/>
      <c r="K71" s="139"/>
      <c r="L71" s="140"/>
    </row>
    <row r="72" spans="1:12" ht="25.5" x14ac:dyDescent="0.2">
      <c r="A72" s="167">
        <v>67</v>
      </c>
      <c r="B72" s="168" t="s">
        <v>65</v>
      </c>
      <c r="C72" s="169" t="s">
        <v>3</v>
      </c>
      <c r="D72" s="170">
        <v>48</v>
      </c>
      <c r="E72" s="141">
        <v>150</v>
      </c>
      <c r="F72" s="199">
        <f t="shared" si="1"/>
        <v>7200</v>
      </c>
      <c r="G72" s="118"/>
      <c r="H72" s="118"/>
      <c r="I72" s="118"/>
      <c r="J72" s="118"/>
      <c r="K72" s="139"/>
      <c r="L72" s="140"/>
    </row>
    <row r="73" spans="1:12" ht="25.5" x14ac:dyDescent="0.2">
      <c r="A73" s="163">
        <v>68</v>
      </c>
      <c r="B73" s="164" t="s">
        <v>66</v>
      </c>
      <c r="C73" s="165" t="s">
        <v>2</v>
      </c>
      <c r="D73" s="166">
        <v>30</v>
      </c>
      <c r="E73" s="138">
        <v>220</v>
      </c>
      <c r="F73" s="199">
        <f t="shared" si="1"/>
        <v>6600</v>
      </c>
      <c r="G73" s="118"/>
      <c r="H73" s="118"/>
      <c r="I73" s="118"/>
      <c r="J73" s="118"/>
      <c r="K73" s="139"/>
      <c r="L73" s="140"/>
    </row>
    <row r="74" spans="1:12" ht="20.25" customHeight="1" x14ac:dyDescent="0.2">
      <c r="A74" s="167">
        <v>69</v>
      </c>
      <c r="B74" s="168" t="s">
        <v>67</v>
      </c>
      <c r="C74" s="169" t="s">
        <v>7</v>
      </c>
      <c r="D74" s="170">
        <v>15</v>
      </c>
      <c r="E74" s="141">
        <v>85</v>
      </c>
      <c r="F74" s="199">
        <f t="shared" si="1"/>
        <v>1275</v>
      </c>
      <c r="G74" s="118"/>
      <c r="H74" s="118"/>
      <c r="I74" s="118"/>
      <c r="J74" s="118"/>
      <c r="K74" s="139"/>
      <c r="L74" s="140"/>
    </row>
    <row r="75" spans="1:12" ht="51" x14ac:dyDescent="0.2">
      <c r="A75" s="167">
        <v>70</v>
      </c>
      <c r="B75" s="168" t="s">
        <v>68</v>
      </c>
      <c r="C75" s="169" t="s">
        <v>3</v>
      </c>
      <c r="D75" s="170">
        <v>5000</v>
      </c>
      <c r="E75" s="141">
        <v>2.4</v>
      </c>
      <c r="F75" s="199">
        <f t="shared" si="1"/>
        <v>12000</v>
      </c>
      <c r="G75" s="118"/>
      <c r="H75" s="118"/>
      <c r="I75" s="118"/>
      <c r="J75" s="118"/>
      <c r="K75" s="139"/>
      <c r="L75" s="140"/>
    </row>
    <row r="76" spans="1:12" ht="25.5" x14ac:dyDescent="0.2">
      <c r="A76" s="167">
        <v>71</v>
      </c>
      <c r="B76" s="168" t="s">
        <v>69</v>
      </c>
      <c r="C76" s="169" t="s">
        <v>3</v>
      </c>
      <c r="D76" s="170">
        <v>3000</v>
      </c>
      <c r="E76" s="141">
        <v>7.0000000000000007E-2</v>
      </c>
      <c r="F76" s="199">
        <f t="shared" si="1"/>
        <v>210.00000000000003</v>
      </c>
      <c r="G76" s="118"/>
      <c r="H76" s="118"/>
      <c r="I76" s="118"/>
      <c r="J76" s="118"/>
      <c r="K76" s="139"/>
      <c r="L76" s="140"/>
    </row>
    <row r="77" spans="1:12" ht="25.5" x14ac:dyDescent="0.2">
      <c r="A77" s="163">
        <v>72</v>
      </c>
      <c r="B77" s="164" t="s">
        <v>70</v>
      </c>
      <c r="C77" s="165" t="s">
        <v>85</v>
      </c>
      <c r="D77" s="166">
        <v>14000</v>
      </c>
      <c r="E77" s="138">
        <v>2.9</v>
      </c>
      <c r="F77" s="199">
        <f t="shared" si="1"/>
        <v>40600</v>
      </c>
      <c r="G77" s="118"/>
      <c r="H77" s="118"/>
      <c r="I77" s="118"/>
      <c r="J77" s="118"/>
      <c r="K77" s="139"/>
      <c r="L77" s="140"/>
    </row>
    <row r="78" spans="1:12" ht="25.5" x14ac:dyDescent="0.2">
      <c r="A78" s="163">
        <v>73</v>
      </c>
      <c r="B78" s="164" t="s">
        <v>71</v>
      </c>
      <c r="C78" s="165" t="s">
        <v>85</v>
      </c>
      <c r="D78" s="166">
        <v>3000</v>
      </c>
      <c r="E78" s="138">
        <v>0.1</v>
      </c>
      <c r="F78" s="199">
        <f t="shared" si="1"/>
        <v>300</v>
      </c>
      <c r="G78" s="118"/>
      <c r="H78" s="118"/>
      <c r="I78" s="118"/>
      <c r="J78" s="118"/>
      <c r="K78" s="139"/>
      <c r="L78" s="140"/>
    </row>
    <row r="79" spans="1:12" ht="15.75" x14ac:dyDescent="0.2">
      <c r="A79" s="167">
        <v>74</v>
      </c>
      <c r="B79" s="168" t="s">
        <v>72</v>
      </c>
      <c r="C79" s="169" t="s">
        <v>83</v>
      </c>
      <c r="D79" s="170">
        <f>6*4</f>
        <v>24</v>
      </c>
      <c r="E79" s="141">
        <v>90</v>
      </c>
      <c r="F79" s="199">
        <f t="shared" si="1"/>
        <v>2160</v>
      </c>
      <c r="G79" s="118"/>
      <c r="H79" s="118"/>
      <c r="I79" s="118"/>
      <c r="J79" s="118"/>
      <c r="K79" s="139"/>
      <c r="L79" s="140"/>
    </row>
    <row r="80" spans="1:12" ht="15.75" x14ac:dyDescent="0.2">
      <c r="A80" s="167">
        <v>75</v>
      </c>
      <c r="B80" s="168" t="s">
        <v>73</v>
      </c>
      <c r="C80" s="169" t="s">
        <v>83</v>
      </c>
      <c r="D80" s="170">
        <f>6*5</f>
        <v>30</v>
      </c>
      <c r="E80" s="141">
        <v>180</v>
      </c>
      <c r="F80" s="199">
        <f t="shared" si="1"/>
        <v>5400</v>
      </c>
      <c r="G80" s="118"/>
      <c r="H80" s="118"/>
      <c r="I80" s="118"/>
      <c r="J80" s="118"/>
      <c r="K80" s="139"/>
      <c r="L80" s="140"/>
    </row>
    <row r="81" spans="1:12" x14ac:dyDescent="0.2">
      <c r="A81" s="167">
        <v>76</v>
      </c>
      <c r="B81" s="168" t="s">
        <v>74</v>
      </c>
      <c r="C81" s="169" t="s">
        <v>75</v>
      </c>
      <c r="D81" s="170">
        <v>2</v>
      </c>
      <c r="E81" s="141">
        <v>1000</v>
      </c>
      <c r="F81" s="199">
        <f t="shared" si="1"/>
        <v>2000</v>
      </c>
      <c r="G81" s="118"/>
      <c r="H81" s="118"/>
      <c r="I81" s="118"/>
      <c r="J81" s="118"/>
      <c r="K81" s="139"/>
      <c r="L81" s="140"/>
    </row>
    <row r="82" spans="1:12" ht="25.5" x14ac:dyDescent="0.2">
      <c r="A82" s="167">
        <v>77</v>
      </c>
      <c r="B82" s="168" t="s">
        <v>76</v>
      </c>
      <c r="C82" s="169" t="s">
        <v>7</v>
      </c>
      <c r="D82" s="170">
        <v>20</v>
      </c>
      <c r="E82" s="141">
        <v>50</v>
      </c>
      <c r="F82" s="199">
        <f t="shared" si="1"/>
        <v>1000</v>
      </c>
      <c r="G82" s="118"/>
      <c r="H82" s="118"/>
      <c r="I82" s="118"/>
      <c r="J82" s="118"/>
      <c r="K82" s="139"/>
      <c r="L82" s="140"/>
    </row>
    <row r="83" spans="1:12" ht="25.5" x14ac:dyDescent="0.2">
      <c r="A83" s="167">
        <v>78</v>
      </c>
      <c r="B83" s="168" t="s">
        <v>77</v>
      </c>
      <c r="C83" s="169" t="s">
        <v>7</v>
      </c>
      <c r="D83" s="170">
        <v>20</v>
      </c>
      <c r="E83" s="141">
        <v>65</v>
      </c>
      <c r="F83" s="199">
        <f t="shared" si="1"/>
        <v>1300</v>
      </c>
      <c r="G83" s="118"/>
      <c r="H83" s="118"/>
      <c r="I83" s="118"/>
      <c r="J83" s="118"/>
      <c r="K83" s="139"/>
      <c r="L83" s="140"/>
    </row>
    <row r="84" spans="1:12" ht="25.5" x14ac:dyDescent="0.2">
      <c r="A84" s="167">
        <v>79</v>
      </c>
      <c r="B84" s="168" t="s">
        <v>78</v>
      </c>
      <c r="C84" s="169" t="s">
        <v>83</v>
      </c>
      <c r="D84" s="170">
        <f>10+9</f>
        <v>19</v>
      </c>
      <c r="E84" s="141">
        <v>560</v>
      </c>
      <c r="F84" s="199">
        <f t="shared" si="1"/>
        <v>10640</v>
      </c>
      <c r="G84" s="118"/>
      <c r="H84" s="118"/>
      <c r="I84" s="118"/>
      <c r="J84" s="118"/>
      <c r="K84" s="139"/>
      <c r="L84" s="140"/>
    </row>
    <row r="85" spans="1:12" ht="16.5" customHeight="1" x14ac:dyDescent="0.2">
      <c r="A85" s="171">
        <v>80</v>
      </c>
      <c r="B85" s="172" t="s">
        <v>116</v>
      </c>
      <c r="C85" s="173" t="s">
        <v>7</v>
      </c>
      <c r="D85" s="169">
        <f>9+3</f>
        <v>12</v>
      </c>
      <c r="E85" s="141">
        <v>45</v>
      </c>
      <c r="F85" s="199">
        <f t="shared" si="1"/>
        <v>540</v>
      </c>
      <c r="G85" s="118"/>
      <c r="H85" s="118"/>
      <c r="I85" s="118"/>
      <c r="J85" s="118"/>
      <c r="K85" s="139"/>
      <c r="L85" s="140"/>
    </row>
    <row r="86" spans="1:12" ht="13.5" customHeight="1" x14ac:dyDescent="0.2">
      <c r="A86" s="174">
        <v>81</v>
      </c>
      <c r="B86" s="175" t="s">
        <v>117</v>
      </c>
      <c r="C86" s="176" t="s">
        <v>7</v>
      </c>
      <c r="D86" s="165">
        <f>4+3</f>
        <v>7</v>
      </c>
      <c r="E86" s="138">
        <v>135</v>
      </c>
      <c r="F86" s="199">
        <f t="shared" si="1"/>
        <v>945</v>
      </c>
      <c r="G86" s="118"/>
      <c r="H86" s="118"/>
      <c r="I86" s="118"/>
      <c r="J86" s="118"/>
      <c r="K86" s="139"/>
      <c r="L86" s="140"/>
    </row>
    <row r="87" spans="1:12" ht="15.75" customHeight="1" x14ac:dyDescent="0.2">
      <c r="A87" s="171">
        <v>82</v>
      </c>
      <c r="B87" s="172" t="s">
        <v>112</v>
      </c>
      <c r="C87" s="173" t="s">
        <v>7</v>
      </c>
      <c r="D87" s="169">
        <f>8+4</f>
        <v>12</v>
      </c>
      <c r="E87" s="141">
        <v>35</v>
      </c>
      <c r="F87" s="199">
        <f t="shared" si="1"/>
        <v>420</v>
      </c>
      <c r="G87" s="118"/>
      <c r="H87" s="118"/>
      <c r="I87" s="118"/>
      <c r="J87" s="118"/>
      <c r="K87" s="139"/>
      <c r="L87" s="140"/>
    </row>
    <row r="88" spans="1:12" ht="15.75" customHeight="1" x14ac:dyDescent="0.2">
      <c r="A88" s="174">
        <v>83</v>
      </c>
      <c r="B88" s="175" t="s">
        <v>113</v>
      </c>
      <c r="C88" s="176" t="s">
        <v>7</v>
      </c>
      <c r="D88" s="165">
        <f>4*2</f>
        <v>8</v>
      </c>
      <c r="E88" s="138">
        <v>135</v>
      </c>
      <c r="F88" s="199">
        <f t="shared" si="1"/>
        <v>1080</v>
      </c>
      <c r="G88" s="118"/>
      <c r="H88" s="118"/>
      <c r="I88" s="118"/>
      <c r="J88" s="118"/>
      <c r="K88" s="139"/>
      <c r="L88" s="140"/>
    </row>
    <row r="89" spans="1:12" ht="25.5" x14ac:dyDescent="0.2">
      <c r="A89" s="171">
        <v>84</v>
      </c>
      <c r="B89" s="172" t="s">
        <v>114</v>
      </c>
      <c r="C89" s="173" t="s">
        <v>7</v>
      </c>
      <c r="D89" s="169">
        <f>15+5</f>
        <v>20</v>
      </c>
      <c r="E89" s="141">
        <v>45</v>
      </c>
      <c r="F89" s="199">
        <f t="shared" si="1"/>
        <v>900</v>
      </c>
      <c r="G89" s="118"/>
      <c r="H89" s="118"/>
      <c r="I89" s="118"/>
      <c r="J89" s="118"/>
      <c r="K89" s="139"/>
      <c r="L89" s="140"/>
    </row>
    <row r="90" spans="1:12" ht="25.5" x14ac:dyDescent="0.2">
      <c r="A90" s="174">
        <v>85</v>
      </c>
      <c r="B90" s="175" t="s">
        <v>115</v>
      </c>
      <c r="C90" s="176" t="s">
        <v>7</v>
      </c>
      <c r="D90" s="165">
        <f>7*2</f>
        <v>14</v>
      </c>
      <c r="E90" s="138">
        <v>135</v>
      </c>
      <c r="F90" s="199">
        <f t="shared" si="1"/>
        <v>1890</v>
      </c>
      <c r="G90" s="118"/>
      <c r="H90" s="118"/>
      <c r="I90" s="118"/>
      <c r="J90" s="118"/>
      <c r="K90" s="139"/>
      <c r="L90" s="140"/>
    </row>
    <row r="91" spans="1:12" ht="25.5" x14ac:dyDescent="0.2">
      <c r="A91" s="174">
        <v>86</v>
      </c>
      <c r="B91" s="175" t="s">
        <v>121</v>
      </c>
      <c r="C91" s="165" t="s">
        <v>85</v>
      </c>
      <c r="D91" s="165">
        <v>1.5</v>
      </c>
      <c r="E91" s="138">
        <v>650</v>
      </c>
      <c r="F91" s="199">
        <f t="shared" si="1"/>
        <v>975</v>
      </c>
      <c r="G91" s="118"/>
      <c r="H91" s="118"/>
      <c r="I91" s="118"/>
      <c r="J91" s="118"/>
      <c r="K91" s="139"/>
      <c r="L91" s="140"/>
    </row>
    <row r="92" spans="1:12" ht="25.5" x14ac:dyDescent="0.2">
      <c r="A92" s="171">
        <v>87</v>
      </c>
      <c r="B92" s="177" t="s">
        <v>101</v>
      </c>
      <c r="C92" s="178" t="s">
        <v>86</v>
      </c>
      <c r="D92" s="169">
        <f>55+7</f>
        <v>62</v>
      </c>
      <c r="E92" s="141">
        <v>70</v>
      </c>
      <c r="F92" s="199">
        <f t="shared" si="1"/>
        <v>4340</v>
      </c>
      <c r="G92" s="118"/>
      <c r="H92" s="118"/>
      <c r="I92" s="118"/>
      <c r="J92" s="118"/>
      <c r="K92" s="139"/>
      <c r="L92" s="140"/>
    </row>
    <row r="93" spans="1:12" x14ac:dyDescent="0.2">
      <c r="A93" s="174">
        <v>88</v>
      </c>
      <c r="B93" s="179" t="s">
        <v>124</v>
      </c>
      <c r="C93" s="180" t="s">
        <v>86</v>
      </c>
      <c r="D93" s="165">
        <v>30</v>
      </c>
      <c r="E93" s="138">
        <v>175</v>
      </c>
      <c r="F93" s="199">
        <f t="shared" si="1"/>
        <v>5250</v>
      </c>
      <c r="G93" s="118"/>
      <c r="H93" s="118"/>
      <c r="I93" s="118"/>
      <c r="J93" s="118"/>
      <c r="K93" s="139"/>
      <c r="L93" s="140"/>
    </row>
    <row r="94" spans="1:12" x14ac:dyDescent="0.2">
      <c r="A94" s="171">
        <v>89</v>
      </c>
      <c r="B94" s="177" t="s">
        <v>102</v>
      </c>
      <c r="C94" s="178" t="s">
        <v>2</v>
      </c>
      <c r="D94" s="169">
        <v>60</v>
      </c>
      <c r="E94" s="141">
        <v>95</v>
      </c>
      <c r="F94" s="199">
        <f t="shared" si="1"/>
        <v>5700</v>
      </c>
      <c r="G94" s="118"/>
      <c r="H94" s="118"/>
      <c r="I94" s="118"/>
      <c r="J94" s="118"/>
      <c r="K94" s="139"/>
      <c r="L94" s="140"/>
    </row>
    <row r="95" spans="1:12" x14ac:dyDescent="0.2">
      <c r="A95" s="171">
        <v>90</v>
      </c>
      <c r="B95" s="177" t="s">
        <v>103</v>
      </c>
      <c r="C95" s="178" t="s">
        <v>7</v>
      </c>
      <c r="D95" s="169">
        <v>10</v>
      </c>
      <c r="E95" s="141">
        <v>16.899999999999999</v>
      </c>
      <c r="F95" s="199">
        <f t="shared" si="1"/>
        <v>169</v>
      </c>
      <c r="G95" s="118"/>
      <c r="H95" s="118"/>
      <c r="I95" s="118"/>
      <c r="J95" s="118"/>
      <c r="K95" s="139"/>
      <c r="L95" s="140"/>
    </row>
    <row r="96" spans="1:12" ht="25.5" x14ac:dyDescent="0.2">
      <c r="A96" s="174">
        <v>91</v>
      </c>
      <c r="B96" s="179" t="s">
        <v>108</v>
      </c>
      <c r="C96" s="180" t="s">
        <v>2</v>
      </c>
      <c r="D96" s="165">
        <f>24+7</f>
        <v>31</v>
      </c>
      <c r="E96" s="138">
        <v>45</v>
      </c>
      <c r="F96" s="199">
        <f t="shared" si="1"/>
        <v>1395</v>
      </c>
      <c r="G96" s="118"/>
      <c r="H96" s="118"/>
      <c r="I96" s="118"/>
      <c r="J96" s="118"/>
      <c r="K96" s="139"/>
      <c r="L96" s="140"/>
    </row>
    <row r="97" spans="1:30" ht="25.5" x14ac:dyDescent="0.2">
      <c r="A97" s="171">
        <v>92</v>
      </c>
      <c r="B97" s="177" t="s">
        <v>109</v>
      </c>
      <c r="C97" s="178" t="s">
        <v>2</v>
      </c>
      <c r="D97" s="169">
        <f>24+5</f>
        <v>29</v>
      </c>
      <c r="E97" s="141">
        <v>65</v>
      </c>
      <c r="F97" s="199">
        <f t="shared" si="1"/>
        <v>1885</v>
      </c>
      <c r="G97" s="118"/>
      <c r="H97" s="118"/>
      <c r="I97" s="118"/>
      <c r="J97" s="118"/>
      <c r="K97" s="139"/>
      <c r="L97" s="140"/>
    </row>
    <row r="98" spans="1:30" ht="25.5" x14ac:dyDescent="0.2">
      <c r="A98" s="174">
        <v>93</v>
      </c>
      <c r="B98" s="179" t="s">
        <v>110</v>
      </c>
      <c r="C98" s="180" t="s">
        <v>2</v>
      </c>
      <c r="D98" s="165">
        <f>12+3</f>
        <v>15</v>
      </c>
      <c r="E98" s="138">
        <v>85</v>
      </c>
      <c r="F98" s="199">
        <f t="shared" si="1"/>
        <v>1275</v>
      </c>
      <c r="G98" s="118"/>
      <c r="H98" s="118"/>
      <c r="I98" s="118"/>
      <c r="J98" s="118"/>
      <c r="K98" s="139"/>
      <c r="L98" s="118"/>
    </row>
    <row r="99" spans="1:30" ht="25.5" x14ac:dyDescent="0.2">
      <c r="A99" s="174">
        <v>94</v>
      </c>
      <c r="B99" s="179" t="s">
        <v>98</v>
      </c>
      <c r="C99" s="180" t="s">
        <v>2</v>
      </c>
      <c r="D99" s="165">
        <f>120+10</f>
        <v>130</v>
      </c>
      <c r="E99" s="138">
        <v>75</v>
      </c>
      <c r="F99" s="199">
        <f t="shared" si="1"/>
        <v>9750</v>
      </c>
      <c r="G99" s="118"/>
      <c r="H99" s="118"/>
      <c r="I99" s="118"/>
      <c r="J99" s="118"/>
      <c r="K99" s="139"/>
      <c r="L99" s="118"/>
    </row>
    <row r="100" spans="1:30" ht="15.75" x14ac:dyDescent="0.2">
      <c r="A100" s="174">
        <v>95</v>
      </c>
      <c r="B100" s="179" t="s">
        <v>119</v>
      </c>
      <c r="C100" s="165" t="s">
        <v>85</v>
      </c>
      <c r="D100" s="165">
        <v>2</v>
      </c>
      <c r="E100" s="138">
        <v>280</v>
      </c>
      <c r="F100" s="199">
        <f t="shared" si="1"/>
        <v>560</v>
      </c>
      <c r="G100" s="118"/>
      <c r="H100" s="118"/>
      <c r="I100" s="118"/>
      <c r="J100" s="118"/>
      <c r="K100" s="139"/>
      <c r="L100" s="118"/>
    </row>
    <row r="101" spans="1:30" x14ac:dyDescent="0.2">
      <c r="A101" s="171">
        <v>96</v>
      </c>
      <c r="B101" s="177" t="s">
        <v>92</v>
      </c>
      <c r="C101" s="169" t="s">
        <v>86</v>
      </c>
      <c r="D101" s="169">
        <f>20+10</f>
        <v>30</v>
      </c>
      <c r="E101" s="141">
        <v>1200</v>
      </c>
      <c r="F101" s="199">
        <f t="shared" si="1"/>
        <v>36000</v>
      </c>
      <c r="G101" s="118"/>
      <c r="H101" s="118"/>
      <c r="I101" s="118"/>
      <c r="J101" s="118"/>
      <c r="K101" s="139"/>
      <c r="L101" s="140"/>
    </row>
    <row r="102" spans="1:30" ht="15.75" x14ac:dyDescent="0.2">
      <c r="A102" s="171">
        <v>97</v>
      </c>
      <c r="B102" s="177" t="s">
        <v>111</v>
      </c>
      <c r="C102" s="169" t="s">
        <v>85</v>
      </c>
      <c r="D102" s="169">
        <f>7+1</f>
        <v>8</v>
      </c>
      <c r="E102" s="141">
        <v>55</v>
      </c>
      <c r="F102" s="199">
        <f t="shared" si="1"/>
        <v>440</v>
      </c>
      <c r="G102" s="118"/>
      <c r="H102" s="118"/>
      <c r="I102" s="118"/>
      <c r="J102" s="118"/>
      <c r="K102" s="139"/>
      <c r="L102" s="140"/>
    </row>
    <row r="103" spans="1:30" ht="25.5" x14ac:dyDescent="0.2">
      <c r="A103" s="174">
        <v>98</v>
      </c>
      <c r="B103" s="179" t="s">
        <v>97</v>
      </c>
      <c r="C103" s="165" t="s">
        <v>86</v>
      </c>
      <c r="D103" s="165">
        <v>3.9</v>
      </c>
      <c r="E103" s="138">
        <v>1600</v>
      </c>
      <c r="F103" s="199">
        <f t="shared" si="1"/>
        <v>6240</v>
      </c>
      <c r="G103" s="118"/>
      <c r="H103" s="118"/>
      <c r="I103" s="118"/>
      <c r="J103" s="118"/>
      <c r="K103" s="139"/>
      <c r="L103" s="140"/>
    </row>
    <row r="104" spans="1:30" ht="15.75" x14ac:dyDescent="0.2">
      <c r="A104" s="171">
        <v>99</v>
      </c>
      <c r="B104" s="177" t="s">
        <v>107</v>
      </c>
      <c r="C104" s="169" t="s">
        <v>83</v>
      </c>
      <c r="D104" s="169">
        <v>50</v>
      </c>
      <c r="E104" s="141">
        <v>140</v>
      </c>
      <c r="F104" s="199">
        <f t="shared" si="1"/>
        <v>7000</v>
      </c>
      <c r="G104" s="118"/>
      <c r="H104" s="118"/>
      <c r="I104" s="118"/>
      <c r="J104" s="118"/>
      <c r="K104" s="139"/>
      <c r="L104" s="140"/>
    </row>
    <row r="105" spans="1:30" ht="25.5" x14ac:dyDescent="0.2">
      <c r="A105" s="174">
        <v>100</v>
      </c>
      <c r="B105" s="164" t="s">
        <v>87</v>
      </c>
      <c r="C105" s="165" t="s">
        <v>7</v>
      </c>
      <c r="D105" s="166">
        <v>30</v>
      </c>
      <c r="E105" s="138">
        <v>50</v>
      </c>
      <c r="F105" s="199">
        <f t="shared" si="1"/>
        <v>1500</v>
      </c>
      <c r="G105" s="118"/>
      <c r="H105" s="118"/>
      <c r="I105" s="118"/>
      <c r="J105" s="118"/>
      <c r="K105" s="139"/>
      <c r="L105" s="140"/>
    </row>
    <row r="106" spans="1:30" ht="25.5" x14ac:dyDescent="0.2">
      <c r="A106" s="174">
        <v>101</v>
      </c>
      <c r="B106" s="164" t="s">
        <v>88</v>
      </c>
      <c r="C106" s="165" t="s">
        <v>7</v>
      </c>
      <c r="D106" s="166">
        <v>30</v>
      </c>
      <c r="E106" s="138">
        <v>70</v>
      </c>
      <c r="F106" s="199">
        <f t="shared" si="1"/>
        <v>2100</v>
      </c>
      <c r="G106" s="118"/>
      <c r="H106" s="118"/>
      <c r="I106" s="118"/>
      <c r="J106" s="118"/>
      <c r="K106" s="139"/>
      <c r="L106" s="140"/>
    </row>
    <row r="107" spans="1:30" ht="25.5" x14ac:dyDescent="0.2">
      <c r="A107" s="174">
        <v>102</v>
      </c>
      <c r="B107" s="179" t="s">
        <v>106</v>
      </c>
      <c r="C107" s="165" t="s">
        <v>7</v>
      </c>
      <c r="D107" s="165">
        <v>20</v>
      </c>
      <c r="E107" s="138">
        <v>30</v>
      </c>
      <c r="F107" s="199">
        <f t="shared" si="1"/>
        <v>600</v>
      </c>
      <c r="G107" s="118"/>
      <c r="H107" s="118"/>
      <c r="I107" s="118"/>
      <c r="J107" s="118"/>
      <c r="K107" s="139"/>
      <c r="L107" s="140"/>
    </row>
    <row r="108" spans="1:30" ht="21.75" customHeight="1" x14ac:dyDescent="0.2">
      <c r="A108" s="171">
        <v>103</v>
      </c>
      <c r="B108" s="177" t="s">
        <v>95</v>
      </c>
      <c r="C108" s="169" t="s">
        <v>7</v>
      </c>
      <c r="D108" s="169">
        <v>50</v>
      </c>
      <c r="E108" s="141">
        <v>30</v>
      </c>
      <c r="F108" s="199">
        <f t="shared" si="1"/>
        <v>1500</v>
      </c>
      <c r="G108" s="118"/>
      <c r="H108" s="118"/>
      <c r="I108" s="118"/>
      <c r="J108" s="118"/>
      <c r="K108" s="139"/>
      <c r="L108" s="140"/>
    </row>
    <row r="109" spans="1:30" x14ac:dyDescent="0.2">
      <c r="A109" s="171">
        <v>104</v>
      </c>
      <c r="B109" s="177" t="s">
        <v>93</v>
      </c>
      <c r="C109" s="169" t="s">
        <v>7</v>
      </c>
      <c r="D109" s="169">
        <v>40</v>
      </c>
      <c r="E109" s="141">
        <v>45</v>
      </c>
      <c r="F109" s="199">
        <f t="shared" si="1"/>
        <v>1800</v>
      </c>
      <c r="G109" s="118"/>
      <c r="H109" s="118"/>
      <c r="I109" s="118"/>
      <c r="J109" s="118"/>
      <c r="K109" s="139"/>
      <c r="L109" s="140"/>
    </row>
    <row r="110" spans="1:30" ht="25.5" x14ac:dyDescent="0.2">
      <c r="A110" s="171">
        <v>105</v>
      </c>
      <c r="B110" s="177" t="s">
        <v>94</v>
      </c>
      <c r="C110" s="169" t="s">
        <v>7</v>
      </c>
      <c r="D110" s="169">
        <v>50</v>
      </c>
      <c r="E110" s="141">
        <v>30</v>
      </c>
      <c r="F110" s="199">
        <f t="shared" si="1"/>
        <v>1500</v>
      </c>
      <c r="G110" s="118"/>
      <c r="H110" s="118"/>
      <c r="I110" s="118"/>
      <c r="J110" s="118"/>
      <c r="K110" s="139"/>
      <c r="L110" s="140"/>
    </row>
    <row r="111" spans="1:30" s="145" customFormat="1" ht="25.5" customHeight="1" x14ac:dyDescent="0.2">
      <c r="A111" s="171">
        <v>106</v>
      </c>
      <c r="B111" s="177" t="s">
        <v>96</v>
      </c>
      <c r="C111" s="169" t="s">
        <v>7</v>
      </c>
      <c r="D111" s="169">
        <v>40</v>
      </c>
      <c r="E111" s="141">
        <v>90</v>
      </c>
      <c r="F111" s="199">
        <f t="shared" si="1"/>
        <v>3600</v>
      </c>
      <c r="G111" s="118"/>
      <c r="H111" s="118"/>
      <c r="I111" s="118"/>
      <c r="J111" s="118"/>
      <c r="K111" s="139"/>
      <c r="L111" s="140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</row>
    <row r="112" spans="1:30" x14ac:dyDescent="0.2">
      <c r="A112" s="174">
        <v>107</v>
      </c>
      <c r="B112" s="179" t="s">
        <v>99</v>
      </c>
      <c r="C112" s="165" t="s">
        <v>86</v>
      </c>
      <c r="D112" s="165">
        <v>0.5</v>
      </c>
      <c r="E112" s="138">
        <v>4000</v>
      </c>
      <c r="F112" s="199">
        <f t="shared" si="1"/>
        <v>2000</v>
      </c>
      <c r="G112" s="118"/>
      <c r="H112" s="118"/>
      <c r="I112" s="118"/>
      <c r="J112" s="118"/>
      <c r="K112" s="139"/>
      <c r="L112" s="140"/>
    </row>
    <row r="113" spans="1:12" x14ac:dyDescent="0.2">
      <c r="A113" s="171">
        <v>108</v>
      </c>
      <c r="B113" s="177" t="s">
        <v>89</v>
      </c>
      <c r="C113" s="169" t="s">
        <v>90</v>
      </c>
      <c r="D113" s="169">
        <v>10</v>
      </c>
      <c r="E113" s="141">
        <v>220</v>
      </c>
      <c r="F113" s="199">
        <f t="shared" si="1"/>
        <v>2200</v>
      </c>
      <c r="G113" s="118"/>
      <c r="H113" s="118"/>
      <c r="I113" s="118"/>
      <c r="J113" s="118"/>
      <c r="K113" s="139"/>
      <c r="L113" s="140"/>
    </row>
    <row r="114" spans="1:12" ht="25.5" x14ac:dyDescent="0.2">
      <c r="A114" s="171">
        <v>109</v>
      </c>
      <c r="B114" s="177" t="s">
        <v>91</v>
      </c>
      <c r="C114" s="169" t="s">
        <v>90</v>
      </c>
      <c r="D114" s="169">
        <v>10</v>
      </c>
      <c r="E114" s="141">
        <v>440</v>
      </c>
      <c r="F114" s="199">
        <f t="shared" si="1"/>
        <v>4400</v>
      </c>
      <c r="G114" s="118"/>
      <c r="H114" s="118"/>
      <c r="I114" s="118"/>
      <c r="J114" s="118"/>
      <c r="K114" s="139"/>
      <c r="L114" s="140"/>
    </row>
    <row r="115" spans="1:12" ht="25.5" x14ac:dyDescent="0.2">
      <c r="A115" s="171">
        <v>110</v>
      </c>
      <c r="B115" s="177" t="s">
        <v>104</v>
      </c>
      <c r="C115" s="169" t="s">
        <v>2</v>
      </c>
      <c r="D115" s="169">
        <f>100+40</f>
        <v>140</v>
      </c>
      <c r="E115" s="141">
        <v>15</v>
      </c>
      <c r="F115" s="199">
        <f t="shared" si="1"/>
        <v>2100</v>
      </c>
      <c r="G115" s="118"/>
      <c r="H115" s="118"/>
      <c r="I115" s="118"/>
      <c r="J115" s="118"/>
      <c r="K115" s="139"/>
      <c r="L115" s="140"/>
    </row>
    <row r="116" spans="1:12" ht="25.5" x14ac:dyDescent="0.2">
      <c r="A116" s="171">
        <v>111</v>
      </c>
      <c r="B116" s="177" t="s">
        <v>105</v>
      </c>
      <c r="C116" s="169" t="s">
        <v>85</v>
      </c>
      <c r="D116" s="169">
        <v>12</v>
      </c>
      <c r="E116" s="141">
        <v>205</v>
      </c>
      <c r="F116" s="199">
        <f t="shared" si="1"/>
        <v>2460</v>
      </c>
      <c r="G116" s="118"/>
      <c r="H116" s="118"/>
      <c r="I116" s="118"/>
      <c r="J116" s="118"/>
      <c r="K116" s="139"/>
      <c r="L116" s="140"/>
    </row>
    <row r="117" spans="1:12" ht="19.5" customHeight="1" x14ac:dyDescent="0.2">
      <c r="A117" s="181">
        <v>112</v>
      </c>
      <c r="B117" s="168" t="s">
        <v>123</v>
      </c>
      <c r="C117" s="169" t="s">
        <v>84</v>
      </c>
      <c r="D117" s="170">
        <v>12000</v>
      </c>
      <c r="E117" s="141">
        <v>5.2</v>
      </c>
      <c r="F117" s="199">
        <f t="shared" si="1"/>
        <v>62400</v>
      </c>
      <c r="G117" s="142"/>
      <c r="H117" s="142"/>
      <c r="I117" s="142"/>
      <c r="J117" s="142"/>
      <c r="K117" s="139"/>
      <c r="L117" s="140"/>
    </row>
    <row r="118" spans="1:12" ht="15" customHeight="1" x14ac:dyDescent="0.2">
      <c r="A118" s="178">
        <v>113</v>
      </c>
      <c r="B118" s="182" t="s">
        <v>127</v>
      </c>
      <c r="C118" s="169" t="s">
        <v>83</v>
      </c>
      <c r="D118" s="183">
        <v>3500</v>
      </c>
      <c r="E118" s="146">
        <v>17</v>
      </c>
      <c r="F118" s="199">
        <f t="shared" si="1"/>
        <v>59500</v>
      </c>
      <c r="G118" s="142"/>
      <c r="H118" s="142"/>
      <c r="I118" s="142"/>
      <c r="J118" s="142"/>
      <c r="K118" s="139"/>
      <c r="L118" s="140"/>
    </row>
    <row r="119" spans="1:12" ht="18.75" customHeight="1" x14ac:dyDescent="0.2">
      <c r="A119" s="184">
        <v>114</v>
      </c>
      <c r="B119" s="182" t="s">
        <v>128</v>
      </c>
      <c r="C119" s="169" t="s">
        <v>83</v>
      </c>
      <c r="D119" s="183">
        <v>3500</v>
      </c>
      <c r="E119" s="146">
        <v>17</v>
      </c>
      <c r="F119" s="199">
        <f t="shared" si="1"/>
        <v>59500</v>
      </c>
      <c r="G119" s="142"/>
      <c r="H119" s="142"/>
      <c r="I119" s="142"/>
      <c r="J119" s="142"/>
      <c r="K119" s="139"/>
      <c r="L119" s="140"/>
    </row>
    <row r="120" spans="1:12" ht="28.5" customHeight="1" x14ac:dyDescent="0.2">
      <c r="A120" s="178">
        <v>115</v>
      </c>
      <c r="B120" s="182" t="s">
        <v>132</v>
      </c>
      <c r="C120" s="185" t="s">
        <v>7</v>
      </c>
      <c r="D120" s="183">
        <v>30</v>
      </c>
      <c r="E120" s="146">
        <v>30</v>
      </c>
      <c r="F120" s="199">
        <f t="shared" si="1"/>
        <v>900</v>
      </c>
      <c r="G120" s="142"/>
      <c r="H120" s="142"/>
      <c r="I120" s="142"/>
      <c r="J120" s="142"/>
      <c r="K120" s="139"/>
      <c r="L120" s="140"/>
    </row>
    <row r="121" spans="1:12" ht="28.5" customHeight="1" thickBot="1" x14ac:dyDescent="0.25">
      <c r="A121" s="184">
        <v>116</v>
      </c>
      <c r="B121" s="182" t="s">
        <v>133</v>
      </c>
      <c r="C121" s="185" t="s">
        <v>7</v>
      </c>
      <c r="D121" s="183">
        <v>20</v>
      </c>
      <c r="E121" s="146">
        <v>70</v>
      </c>
      <c r="F121" s="199">
        <f t="shared" si="1"/>
        <v>1400</v>
      </c>
      <c r="G121" s="142"/>
      <c r="H121" s="142"/>
      <c r="I121" s="142"/>
      <c r="J121" s="142"/>
      <c r="K121" s="139"/>
      <c r="L121" s="140"/>
    </row>
    <row r="122" spans="1:12" ht="15" customHeight="1" x14ac:dyDescent="0.2">
      <c r="A122" s="186">
        <v>115</v>
      </c>
      <c r="B122" s="187" t="s">
        <v>134</v>
      </c>
      <c r="C122" s="188"/>
      <c r="D122" s="189"/>
      <c r="E122" s="147"/>
      <c r="F122" s="200">
        <f>SUM(F6:F121)</f>
        <v>3364020.5</v>
      </c>
      <c r="G122" s="120"/>
      <c r="H122" s="120"/>
      <c r="I122" s="120"/>
      <c r="J122" s="120"/>
      <c r="K122" s="120"/>
      <c r="L122" s="120"/>
    </row>
    <row r="123" spans="1:12" ht="14.25" customHeight="1" x14ac:dyDescent="0.2">
      <c r="A123" s="163">
        <v>116</v>
      </c>
      <c r="B123" s="190" t="s">
        <v>135</v>
      </c>
      <c r="C123" s="191"/>
      <c r="D123" s="192"/>
      <c r="E123" s="148"/>
      <c r="F123" s="201">
        <f>F122*0.21</f>
        <v>706444.30499999993</v>
      </c>
      <c r="G123" s="120"/>
      <c r="H123" s="120"/>
      <c r="I123" s="120"/>
      <c r="J123" s="120"/>
      <c r="K123" s="120"/>
      <c r="L123" s="120"/>
    </row>
    <row r="124" spans="1:12" ht="15.75" customHeight="1" thickBot="1" x14ac:dyDescent="0.25">
      <c r="A124" s="193">
        <v>117</v>
      </c>
      <c r="B124" s="194" t="s">
        <v>129</v>
      </c>
      <c r="C124" s="195"/>
      <c r="D124" s="196"/>
      <c r="E124" s="149"/>
      <c r="F124" s="202">
        <f>F122+F123</f>
        <v>4070464.8049999997</v>
      </c>
      <c r="G124" s="120"/>
      <c r="H124" s="120"/>
      <c r="I124" s="120"/>
      <c r="J124" s="120"/>
      <c r="K124" s="120"/>
      <c r="L124" s="150"/>
    </row>
  </sheetData>
  <sheetProtection sheet="1" objects="1" scenarios="1"/>
  <mergeCells count="1">
    <mergeCell ref="B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9" workbookViewId="0">
      <selection activeCell="G16" sqref="G16"/>
    </sheetView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13"/>
  <sheetViews>
    <sheetView zoomScale="130" zoomScaleNormal="130" workbookViewId="0">
      <selection activeCell="D20" sqref="D20"/>
    </sheetView>
  </sheetViews>
  <sheetFormatPr defaultColWidth="8.85546875" defaultRowHeight="15" x14ac:dyDescent="0.25"/>
  <cols>
    <col min="1" max="1" width="7.140625" customWidth="1"/>
    <col min="2" max="2" width="49" customWidth="1"/>
    <col min="3" max="3" width="11.85546875" customWidth="1"/>
    <col min="4" max="4" width="19.42578125" customWidth="1"/>
    <col min="5" max="5" width="10.42578125" customWidth="1"/>
    <col min="6" max="6" width="11.140625" customWidth="1"/>
  </cols>
  <sheetData>
    <row r="2" spans="1:6" ht="33.75" customHeight="1" x14ac:dyDescent="0.25">
      <c r="B2" s="205"/>
      <c r="C2" s="206"/>
      <c r="D2" s="206"/>
      <c r="E2" s="206"/>
      <c r="F2" s="206"/>
    </row>
    <row r="4" spans="1:6" ht="15.75" thickBot="1" x14ac:dyDescent="0.3">
      <c r="A4" s="1"/>
      <c r="B4" s="63"/>
      <c r="C4" s="4"/>
      <c r="D4" s="4"/>
      <c r="E4" s="6"/>
      <c r="F4" s="7"/>
    </row>
    <row r="5" spans="1:6" ht="15.75" thickBot="1" x14ac:dyDescent="0.3">
      <c r="A5" s="16"/>
      <c r="B5" s="15"/>
      <c r="C5" s="37"/>
      <c r="D5" s="37"/>
      <c r="E5" s="38"/>
      <c r="F5" s="42"/>
    </row>
    <row r="6" spans="1:6" ht="13.5" customHeight="1" thickBot="1" x14ac:dyDescent="0.3">
      <c r="A6" s="98"/>
      <c r="B6" s="99"/>
      <c r="C6" s="100"/>
      <c r="D6" s="101"/>
      <c r="E6" s="102"/>
      <c r="F6" s="103"/>
    </row>
    <row r="7" spans="1:6" ht="26.25" customHeight="1" x14ac:dyDescent="0.25">
      <c r="A7" s="17"/>
      <c r="B7" s="35"/>
      <c r="C7" s="5"/>
      <c r="D7" s="36"/>
      <c r="E7" s="39"/>
      <c r="F7" s="43"/>
    </row>
    <row r="8" spans="1:6" x14ac:dyDescent="0.25">
      <c r="A8" s="18"/>
      <c r="B8" s="20"/>
      <c r="C8" s="2"/>
      <c r="D8" s="3"/>
      <c r="E8" s="40"/>
      <c r="F8" s="44"/>
    </row>
    <row r="9" spans="1:6" x14ac:dyDescent="0.25">
      <c r="A9" s="18"/>
      <c r="B9" s="20"/>
      <c r="C9" s="2"/>
      <c r="D9" s="3"/>
      <c r="E9" s="40"/>
      <c r="F9" s="44"/>
    </row>
    <row r="10" spans="1:6" ht="15.75" thickBot="1" x14ac:dyDescent="0.3">
      <c r="A10" s="26"/>
      <c r="B10" s="27"/>
      <c r="C10" s="28"/>
      <c r="D10" s="29"/>
      <c r="E10" s="41"/>
      <c r="F10" s="45"/>
    </row>
    <row r="11" spans="1:6" x14ac:dyDescent="0.25">
      <c r="A11" s="30"/>
      <c r="B11" s="31"/>
      <c r="C11" s="32"/>
      <c r="D11" s="32"/>
      <c r="E11" s="33"/>
      <c r="F11" s="34"/>
    </row>
    <row r="12" spans="1:6" x14ac:dyDescent="0.25">
      <c r="A12" s="18"/>
      <c r="B12" s="24"/>
      <c r="C12" s="8"/>
      <c r="D12" s="8"/>
      <c r="E12" s="9"/>
      <c r="F12" s="21"/>
    </row>
    <row r="13" spans="1:6" ht="15.75" thickBot="1" x14ac:dyDescent="0.3">
      <c r="A13" s="19"/>
      <c r="B13" s="25"/>
      <c r="C13" s="14"/>
      <c r="D13" s="14"/>
      <c r="E13" s="22"/>
      <c r="F13" s="23"/>
    </row>
  </sheetData>
  <mergeCells count="1">
    <mergeCell ref="B2:F2"/>
  </mergeCells>
  <pageMargins left="0.7" right="0.7" top="0.75" bottom="0.75" header="0.3" footer="0.3"/>
  <pageSetup paperSize="9" scale="8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F11"/>
  <sheetViews>
    <sheetView zoomScale="130" zoomScaleNormal="130" workbookViewId="0">
      <selection activeCell="B10" sqref="B10"/>
    </sheetView>
  </sheetViews>
  <sheetFormatPr defaultColWidth="9.140625" defaultRowHeight="15" x14ac:dyDescent="0.25"/>
  <cols>
    <col min="1" max="1" width="5.28515625" style="64" customWidth="1"/>
    <col min="2" max="2" width="35" style="64" customWidth="1"/>
    <col min="3" max="3" width="15.85546875" style="64" customWidth="1"/>
    <col min="4" max="4" width="18.28515625" style="64" customWidth="1"/>
    <col min="5" max="5" width="9.140625" style="64"/>
    <col min="6" max="6" width="14.85546875" style="64" customWidth="1"/>
    <col min="7" max="16384" width="9.140625" style="64"/>
  </cols>
  <sheetData>
    <row r="2" spans="1:6" ht="27.75" customHeight="1" x14ac:dyDescent="0.25">
      <c r="B2" s="205"/>
      <c r="C2" s="206"/>
      <c r="D2" s="206"/>
      <c r="E2" s="207"/>
      <c r="F2" s="207"/>
    </row>
    <row r="3" spans="1:6" ht="15" customHeight="1" x14ac:dyDescent="0.25">
      <c r="B3" s="61"/>
      <c r="C3" s="62"/>
      <c r="D3" s="62"/>
    </row>
    <row r="4" spans="1:6" ht="15.75" thickBot="1" x14ac:dyDescent="0.3">
      <c r="A4" s="10"/>
      <c r="B4" s="65"/>
      <c r="C4" s="11"/>
      <c r="D4" s="66"/>
      <c r="E4" s="12"/>
      <c r="F4" s="13"/>
    </row>
    <row r="5" spans="1:6" ht="104.25" customHeight="1" thickBot="1" x14ac:dyDescent="0.3">
      <c r="A5" s="67"/>
      <c r="B5" s="68"/>
      <c r="C5" s="69"/>
      <c r="D5" s="70"/>
      <c r="E5" s="71"/>
      <c r="F5" s="72"/>
    </row>
    <row r="6" spans="1:6" ht="13.5" customHeight="1" thickBot="1" x14ac:dyDescent="0.3">
      <c r="A6" s="104"/>
      <c r="B6" s="105"/>
      <c r="C6" s="106"/>
      <c r="D6" s="107"/>
      <c r="E6" s="108"/>
      <c r="F6" s="109"/>
    </row>
    <row r="7" spans="1:6" ht="85.5" customHeight="1" x14ac:dyDescent="0.25">
      <c r="A7" s="73"/>
      <c r="B7" s="74"/>
      <c r="C7" s="75"/>
      <c r="D7" s="76"/>
      <c r="E7" s="77"/>
      <c r="F7" s="78"/>
    </row>
    <row r="8" spans="1:6" ht="79.5" customHeight="1" x14ac:dyDescent="0.25">
      <c r="A8" s="79"/>
      <c r="B8" s="80"/>
      <c r="C8" s="81"/>
      <c r="D8" s="82"/>
      <c r="E8" s="83"/>
      <c r="F8" s="84"/>
    </row>
    <row r="9" spans="1:6" x14ac:dyDescent="0.25">
      <c r="A9" s="79"/>
      <c r="B9" s="85"/>
      <c r="C9" s="81"/>
      <c r="D9" s="82"/>
      <c r="E9" s="83"/>
      <c r="F9" s="84"/>
    </row>
    <row r="10" spans="1:6" ht="64.5" customHeight="1" thickBot="1" x14ac:dyDescent="0.3">
      <c r="A10" s="86"/>
      <c r="B10" s="87"/>
      <c r="C10" s="88"/>
      <c r="D10" s="89"/>
      <c r="E10" s="90"/>
      <c r="F10" s="91"/>
    </row>
    <row r="11" spans="1:6" ht="15.75" thickBot="1" x14ac:dyDescent="0.3">
      <c r="A11" s="92"/>
      <c r="B11" s="93"/>
      <c r="C11" s="94"/>
      <c r="D11" s="95"/>
      <c r="E11" s="96"/>
      <c r="F11" s="97"/>
    </row>
  </sheetData>
  <mergeCells count="1">
    <mergeCell ref="B2:F2"/>
  </mergeCells>
  <pageMargins left="0.7" right="0.7" top="0.75" bottom="0.75" header="0.3" footer="0.3"/>
  <pageSetup paperSize="9" scale="8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C10"/>
  <sheetViews>
    <sheetView zoomScale="130" zoomScaleNormal="130" workbookViewId="0">
      <selection activeCell="C16" sqref="C16"/>
    </sheetView>
  </sheetViews>
  <sheetFormatPr defaultColWidth="8.85546875" defaultRowHeight="15" x14ac:dyDescent="0.25"/>
  <cols>
    <col min="1" max="1" width="5.28515625" customWidth="1"/>
    <col min="2" max="2" width="67.42578125" customWidth="1"/>
    <col min="3" max="3" width="35.140625" customWidth="1"/>
  </cols>
  <sheetData>
    <row r="2" spans="1:3" ht="31.5" customHeight="1" x14ac:dyDescent="0.25">
      <c r="B2" s="205"/>
      <c r="C2" s="206"/>
    </row>
    <row r="4" spans="1:3" ht="15.75" thickBot="1" x14ac:dyDescent="0.3">
      <c r="A4" s="1"/>
      <c r="B4" s="63"/>
      <c r="C4" s="4"/>
    </row>
    <row r="5" spans="1:3" ht="40.5" customHeight="1" x14ac:dyDescent="0.25">
      <c r="A5" s="55"/>
      <c r="B5" s="56"/>
      <c r="C5" s="57"/>
    </row>
    <row r="6" spans="1:3" ht="11.25" customHeight="1" x14ac:dyDescent="0.25">
      <c r="A6" s="58"/>
      <c r="B6" s="59"/>
      <c r="C6" s="60"/>
    </row>
    <row r="7" spans="1:3" x14ac:dyDescent="0.25">
      <c r="A7" s="17"/>
      <c r="B7" s="48"/>
      <c r="C7" s="50"/>
    </row>
    <row r="8" spans="1:3" x14ac:dyDescent="0.25">
      <c r="A8" s="18"/>
      <c r="B8" s="49"/>
      <c r="C8" s="51"/>
    </row>
    <row r="9" spans="1:3" ht="15.75" thickBot="1" x14ac:dyDescent="0.3">
      <c r="A9" s="26"/>
      <c r="B9" s="52"/>
      <c r="C9" s="53"/>
    </row>
    <row r="10" spans="1:3" ht="15.75" thickBot="1" x14ac:dyDescent="0.3">
      <c r="A10" s="46"/>
      <c r="B10" s="47"/>
      <c r="C10" s="54"/>
    </row>
  </sheetData>
  <mergeCells count="1">
    <mergeCell ref="B2:C2"/>
  </mergeCells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Preliminarūs kiekiai</vt:lpstr>
      <vt:lpstr>Lapas1</vt:lpstr>
      <vt:lpstr>tyr.pasl.</vt:lpstr>
      <vt:lpstr>proj.pasl.</vt:lpstr>
      <vt:lpstr>viso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technikinis2</dc:creator>
  <cp:lastModifiedBy>Jolanta Kavaliauskienė</cp:lastModifiedBy>
  <cp:lastPrinted>2022-04-11T10:19:46Z</cp:lastPrinted>
  <dcterms:created xsi:type="dcterms:W3CDTF">2015-05-26T09:54:36Z</dcterms:created>
  <dcterms:modified xsi:type="dcterms:W3CDTF">2022-07-01T07:46:25Z</dcterms:modified>
</cp:coreProperties>
</file>