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iva Inbio\Desktop\Konkursai\Klaipedos universitetine ligonine\2016 03 23\"/>
    </mc:Choice>
  </mc:AlternateContent>
  <bookViews>
    <workbookView xWindow="0" yWindow="0" windowWidth="2049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1" l="1"/>
  <c r="F48" i="1"/>
  <c r="F69" i="1"/>
  <c r="G69" i="1" s="1"/>
  <c r="G68" i="1"/>
  <c r="F68" i="1"/>
  <c r="G67" i="1"/>
  <c r="F67" i="1"/>
  <c r="G66" i="1"/>
  <c r="F66" i="1"/>
  <c r="G65" i="1"/>
  <c r="F65" i="1"/>
  <c r="G64" i="1"/>
  <c r="F64" i="1"/>
  <c r="G63" i="1"/>
  <c r="G70" i="1" s="1"/>
  <c r="F63" i="1"/>
  <c r="F61" i="1"/>
  <c r="G61" i="1" s="1"/>
  <c r="F60" i="1"/>
  <c r="G60" i="1" s="1"/>
  <c r="F59" i="1"/>
  <c r="G59" i="1" s="1"/>
  <c r="F58" i="1"/>
  <c r="G58" i="1" s="1"/>
  <c r="F56" i="1"/>
  <c r="G56" i="1" s="1"/>
  <c r="F55" i="1"/>
  <c r="G55" i="1" s="1"/>
  <c r="F54" i="1"/>
  <c r="G54" i="1" s="1"/>
  <c r="F53" i="1"/>
  <c r="G53" i="1" s="1"/>
  <c r="F51" i="1"/>
  <c r="G51" i="1" s="1"/>
  <c r="F50" i="1"/>
  <c r="G50" i="1" s="1"/>
  <c r="F49" i="1"/>
  <c r="G49" i="1" s="1"/>
  <c r="G48" i="1"/>
  <c r="F47" i="1"/>
  <c r="G47" i="1" s="1"/>
  <c r="G46" i="1"/>
  <c r="F45" i="1"/>
  <c r="G45" i="1" s="1"/>
  <c r="F43" i="1"/>
  <c r="G43" i="1" s="1"/>
  <c r="F42" i="1"/>
  <c r="G42" i="1" s="1"/>
  <c r="F41" i="1"/>
  <c r="G41" i="1" s="1"/>
  <c r="F39" i="1"/>
  <c r="G39" i="1" s="1"/>
  <c r="F38" i="1"/>
  <c r="G38" i="1" s="1"/>
  <c r="F37" i="1"/>
  <c r="G37" i="1" s="1"/>
  <c r="F36" i="1"/>
  <c r="G36" i="1" s="1"/>
  <c r="F33" i="1"/>
  <c r="G33" i="1" s="1"/>
  <c r="F32" i="1"/>
  <c r="G32" i="1" s="1"/>
  <c r="F31" i="1"/>
  <c r="G31" i="1" s="1"/>
  <c r="F30" i="1"/>
  <c r="G30" i="1" s="1"/>
  <c r="F29" i="1"/>
  <c r="G29" i="1" s="1"/>
  <c r="F28" i="1"/>
  <c r="G28" i="1" s="1"/>
  <c r="F27" i="1"/>
  <c r="G27" i="1" s="1"/>
  <c r="F26" i="1"/>
  <c r="G26" i="1" s="1"/>
  <c r="F25" i="1"/>
  <c r="G25" i="1" s="1"/>
  <c r="F24" i="1"/>
  <c r="G24" i="1" s="1"/>
  <c r="F21" i="1"/>
  <c r="G21" i="1" s="1"/>
  <c r="F22" i="1"/>
  <c r="G22" i="1" s="1"/>
  <c r="F18" i="1"/>
  <c r="G18" i="1" s="1"/>
  <c r="F17" i="1"/>
  <c r="G17" i="1" s="1"/>
  <c r="F16" i="1"/>
  <c r="G16" i="1" s="1"/>
  <c r="F14" i="1"/>
  <c r="G14" i="1" s="1"/>
  <c r="F13" i="1"/>
  <c r="G13" i="1" s="1"/>
  <c r="F12" i="1"/>
  <c r="G12" i="1" s="1"/>
  <c r="F10" i="1"/>
  <c r="G10" i="1" s="1"/>
  <c r="F9" i="1"/>
  <c r="G9" i="1" s="1"/>
  <c r="F7" i="1"/>
  <c r="G7" i="1" s="1"/>
  <c r="F6" i="1"/>
  <c r="G6" i="1" s="1"/>
  <c r="F5" i="1"/>
  <c r="G5" i="1" s="1"/>
  <c r="G57" i="1" l="1"/>
  <c r="G44" i="1"/>
  <c r="G19" i="1"/>
  <c r="G23" i="1"/>
  <c r="G11" i="1"/>
</calcChain>
</file>

<file path=xl/sharedStrings.xml><?xml version="1.0" encoding="utf-8"?>
<sst xmlns="http://schemas.openxmlformats.org/spreadsheetml/2006/main" count="298" uniqueCount="221">
  <si>
    <t xml:space="preserve"> Priedas Nr. 2</t>
  </si>
  <si>
    <t>Eil. Nr.</t>
  </si>
  <si>
    <t>Priemonės apibūdinimas (specifikacija)</t>
  </si>
  <si>
    <t>Orientacinis perkamas kiekis</t>
  </si>
  <si>
    <t>Mato vnt.</t>
  </si>
  <si>
    <t>PVM tarifas %</t>
  </si>
  <si>
    <t>Mato vnt. kaina EUR su PVM</t>
  </si>
  <si>
    <t>Viso kaina EUR su PVM</t>
  </si>
  <si>
    <t>Gamintojas</t>
  </si>
  <si>
    <t>Medicininės priemonės klinikinei laboratorijai</t>
  </si>
  <si>
    <t>1</t>
  </si>
  <si>
    <t>Vnt.</t>
  </si>
  <si>
    <t>Iki 12000 vnt.</t>
  </si>
  <si>
    <t>Iki 100 vnt.</t>
  </si>
  <si>
    <t>Iki 500 vnt.</t>
  </si>
  <si>
    <t>5</t>
  </si>
  <si>
    <t>„Eppendorf“ tipo arba lygiaverčiai mėgintuvėliai (1,5ml)</t>
  </si>
  <si>
    <t>Iki 14000 vnt.</t>
  </si>
  <si>
    <t>6</t>
  </si>
  <si>
    <t>Mėgintuvėliai: plastikiniai,skaidrūs, 5ml, 75cm ilgio, 13mm skersmens</t>
  </si>
  <si>
    <t>Iki 24000 vnt.</t>
  </si>
  <si>
    <t>Iki 600 vnt.</t>
  </si>
  <si>
    <t>Iki 3000 vnt.</t>
  </si>
  <si>
    <t>10</t>
  </si>
  <si>
    <t xml:space="preserve">Dengiamieji stikliukai:  </t>
  </si>
  <si>
    <t>10.1</t>
  </si>
  <si>
    <t>18x18mm</t>
  </si>
  <si>
    <t>10.2</t>
  </si>
  <si>
    <t>24x50mm</t>
  </si>
  <si>
    <t>iki 70000 vnt.</t>
  </si>
  <si>
    <t>Viso 10 pozicija</t>
  </si>
  <si>
    <t xml:space="preserve">Iki 10 vnt. </t>
  </si>
  <si>
    <t>Objektyviniai stikliukai (76x26x1mm 50vnt) su matiniu šlifuotu lauku užrašams, su galimybe užraša atlikti grafitiniu pieštuku</t>
  </si>
  <si>
    <t>Iki 60000 vnt.</t>
  </si>
  <si>
    <t>16</t>
  </si>
  <si>
    <t>Plastikinis padėklas objektyviniams stikliukams (10 vietų), 100x340mm</t>
  </si>
  <si>
    <t>23</t>
  </si>
  <si>
    <t>24</t>
  </si>
  <si>
    <t>Iki 2500 vnt.</t>
  </si>
  <si>
    <t>26</t>
  </si>
  <si>
    <t>26.1</t>
  </si>
  <si>
    <t>500ml</t>
  </si>
  <si>
    <t>26.2</t>
  </si>
  <si>
    <t>250ml</t>
  </si>
  <si>
    <t>Viso 26 pozicija</t>
  </si>
  <si>
    <t>27</t>
  </si>
  <si>
    <t>28</t>
  </si>
  <si>
    <t>32</t>
  </si>
  <si>
    <t>33</t>
  </si>
  <si>
    <t>Stiklinės Petri arba lygiavertės lėkštelės, 100 mm skersmens</t>
  </si>
  <si>
    <t>35</t>
  </si>
  <si>
    <t>iki 8 vnt.</t>
  </si>
  <si>
    <t>38</t>
  </si>
  <si>
    <t>39</t>
  </si>
  <si>
    <t>44</t>
  </si>
  <si>
    <t xml:space="preserve">Sterilus vatinukas su medine lazdele, supakuotas individualiai </t>
  </si>
  <si>
    <t>iki 50 vnt.</t>
  </si>
  <si>
    <t>Iki 10000 vnt.</t>
  </si>
  <si>
    <t>iki 1000 vnt.</t>
  </si>
  <si>
    <t>iki 4 vnt.</t>
  </si>
  <si>
    <t>Stiklinis butelis 500ml talpos, autoklavuojamas, skirtas maitinamųjų terpių gamybai.</t>
  </si>
  <si>
    <t>iki 100 vnt.</t>
  </si>
  <si>
    <t>60</t>
  </si>
  <si>
    <t>Stiklinis butelis 250ml talpos, autoklavuojamas, skirtas maitinamųjų terpių gamybai.</t>
  </si>
  <si>
    <t>61</t>
  </si>
  <si>
    <t>62</t>
  </si>
  <si>
    <t>iki 4000 vnt.</t>
  </si>
  <si>
    <t>iki 3 vnt.</t>
  </si>
  <si>
    <t>iki 5 vnt.</t>
  </si>
  <si>
    <t>1 vnt.</t>
  </si>
  <si>
    <t>Parafilmas laboratorinis dydis 4X125 ft</t>
  </si>
  <si>
    <t>80</t>
  </si>
  <si>
    <t>Objektyviniai stikleliai su nuolatiniu teigiamu elektrostatiniu krūviu (pažymėti dviem pliusiukais vienam gale): turi būti skirti imunohistocheminiams tyrimams; dydis: 25 mm (± 1mm) x 75 (± 1mm).</t>
  </si>
  <si>
    <t>Iki 9000 vnt.</t>
  </si>
  <si>
    <t>vnt.</t>
  </si>
  <si>
    <t>Biopsinės kasetės (vienkartinės, plastikinės, su dangteliu, skirtos biopsinės medžiagos įliejimui į parafiną) tinkančios esamam ligoninėje Cassmark2 aparatui</t>
  </si>
  <si>
    <t>83</t>
  </si>
  <si>
    <t>Biopsinės kempinėlės, skirtos įdėjimui į biopsinę kasetę (32x26 mm)</t>
  </si>
  <si>
    <t xml:space="preserve">Antgaliai mikrodozatoriui I: darbinis tūris - intervalas ne siauresnis 0,2 -10 µl; antgaliai ne sterilūs.  </t>
  </si>
  <si>
    <t>iki 500 vnt.</t>
  </si>
  <si>
    <t xml:space="preserve">Antgaliai mikrodozatoriui II: darbinis tūris - intervalas ne siauresnis 0,5 -250 µl; antgaliai ne sterilūs. </t>
  </si>
  <si>
    <t>iki 2500 vnt.</t>
  </si>
  <si>
    <t xml:space="preserve">Antgaliai mikrodozatoriui III: darbinis tūris - intervalas ne siauresnis 100 -1000 µl; antgaliai ne sterilūs. </t>
  </si>
  <si>
    <t>85</t>
  </si>
  <si>
    <t xml:space="preserve">Rankena autopsiniams ašmenims, autoklavuojama, atspari cheminėms medžiagoms, lengvai išardoma, tinkanti autopsiniams ašmenims Nr. 100, 170, 325. </t>
  </si>
  <si>
    <t>86</t>
  </si>
  <si>
    <t>Rankena histologiniams ašmenims, autoklavuojama, atspari cheminėms medžiagoms, tinkanti histologiniams ašmenims R35, S35</t>
  </si>
  <si>
    <t>87</t>
  </si>
  <si>
    <t>Histologiniai ašmenys: vienkartiniai mikrotominiai; S35; pagaminti iš nerūdijančio plieno; skirti rotaciniam mikrotomui, parafininių blokų pjovimui; ašmens ilgis - 80 mm; aštrumo kampas - 35⁰</t>
  </si>
  <si>
    <t>iki 1250 vnt.</t>
  </si>
  <si>
    <t>88</t>
  </si>
  <si>
    <t>89</t>
  </si>
  <si>
    <t xml:space="preserve">Histologiniai ašmenys: vienkartiniai mikrotominiai; C35; pagaminti iš karbonizuoto plieno; skirti kriotomui, sušaldytų mėginių pjovimui; ašmens ilgis - 80 mm; aštrumo kampas - 35⁰ </t>
  </si>
  <si>
    <t>90</t>
  </si>
  <si>
    <t>Autopsijos ašmenys: Nr. 170; vienkartiniai; pagaminti iš nerūdijančio plieno; ašmens ilgis - 170 mm.</t>
  </si>
  <si>
    <t>iki 60 vnt.</t>
  </si>
  <si>
    <t>91</t>
  </si>
  <si>
    <t>Užšaldantysis aerozolis</t>
  </si>
  <si>
    <t>Iki 12 vnt.</t>
  </si>
  <si>
    <t>92</t>
  </si>
  <si>
    <t>93</t>
  </si>
  <si>
    <t>94</t>
  </si>
  <si>
    <t>96</t>
  </si>
  <si>
    <t>Post mortem arba lygiavertė adata, lenkta, 12 cm</t>
  </si>
  <si>
    <t xml:space="preserve">Iki 5 vnt. </t>
  </si>
  <si>
    <t>99</t>
  </si>
  <si>
    <t>103</t>
  </si>
  <si>
    <t>105</t>
  </si>
  <si>
    <t>Autopsinis peilis smegenims 20 cm, metaline rankena</t>
  </si>
  <si>
    <t>107</t>
  </si>
  <si>
    <t>Mažo tūrio mikrodozatorius I: tūris nuo 1-10 µl; padalos vertė ne daugiau nei 0,02 µl; turi būti autoklavuojamas; turi būti atsparus UV šviesai; mikrodozatoriaus mygtukas turi būti su apsauga nuo netyčinio tūrio pakeitimo; mikrodozatoriuje turi būti duomenų kortelės laikiklis pastaboms ir prietaiso indentifikavimui .</t>
  </si>
  <si>
    <t>Mažo tūrio mikrodozatorius II: tūris nuo 10-100 µl; padalos vertė ne daugiau nei 0,2 µl; turi būti autoklavuojamas; turi būti atsparus UV šviesai; mikrodozatoriaus mygtukas turi būti su apsauga nuo netyčinio tūrio pakeitimo; mikrodozatoriuje turi būti duomenų kortelės laikiklis pastaboms ir prietaiso indentifikavimui.</t>
  </si>
  <si>
    <t>Mažo tūrio mikrodozatorius III: tūris nuo 100-1000 µl; padalos vertė ne daugiau nei 1 µl; turi būti autoklavuojamas; turi būti atsparus UV šviesai; mikrodozatoriaus mygtukas turi būti su apsauga nuo netyčinio tūrio pakeitimo; mikrodozatoriuje turi būti duomenų kortelės laikiklis pastaboms ir prietaiso indentifikavimui.</t>
  </si>
  <si>
    <t>Stovas mikrodozatoriams: Turi laikyti ne mažiau nei 6 mikrodozatorius. Stovas turi tikti tiek vienkanaliams, tiek daugiakanaliams mikrodozatoriams.</t>
  </si>
  <si>
    <r>
      <t xml:space="preserve">Sterilus polipropileno indelis, skirtas fekalijų surinkimui, su lopetėle,užsukamu dangteliu ir </t>
    </r>
    <r>
      <rPr>
        <b/>
        <sz val="10"/>
        <rFont val="Times New Roman"/>
        <family val="1"/>
        <charset val="186"/>
      </rPr>
      <t>popierine etikete, užkliuotą ant indelio</t>
    </r>
    <r>
      <rPr>
        <sz val="10"/>
        <rFont val="Times New Roman"/>
        <family val="1"/>
      </rPr>
      <t xml:space="preserve">  individualiai supakuotas 30ml, 25x90 mm</t>
    </r>
  </si>
  <si>
    <t>96 vietų plokštelė su U formos dugnu TPHA tyrimui</t>
  </si>
  <si>
    <t>Pipetės, polistirolo (26  pozicijos siūlomos prekės bus perkamos iš vieno tiekėjo):</t>
  </si>
  <si>
    <t>26.3</t>
  </si>
  <si>
    <t>Pastero 3ml supakuotos po kelias</t>
  </si>
  <si>
    <t>Stiklinės kaitinimo, graduotos, su snapeliu, aukštos formos (27  pozicijos siūlomos prekės bus perkamos iš vieno tiekėjo):</t>
  </si>
  <si>
    <t>27.1</t>
  </si>
  <si>
    <t>27.2</t>
  </si>
  <si>
    <t>Viso 27 pozicija</t>
  </si>
  <si>
    <t>Pastero 3ml individualiai supakuota, sterili</t>
  </si>
  <si>
    <t>Iki 48000 vnt.</t>
  </si>
  <si>
    <t>Iki 100000 vnt.</t>
  </si>
  <si>
    <t>Iki 20 vnt.</t>
  </si>
  <si>
    <t>Iki 50000 vnt.</t>
  </si>
  <si>
    <t>iki 14000 vnt.</t>
  </si>
  <si>
    <t>Serologinė 2ml  sterili, individualiai supakuota</t>
  </si>
  <si>
    <t>Spiritinė lemputė</t>
  </si>
  <si>
    <t>iki 2000 vnt.</t>
  </si>
  <si>
    <t>68</t>
  </si>
  <si>
    <t>Perkamų medicininių priemonių klinikinei laboratorijai, histologijai ir molekuliniams tyrimams sąrašas</t>
  </si>
  <si>
    <t>iki 150 vnt</t>
  </si>
  <si>
    <t>7x7x5mm</t>
  </si>
  <si>
    <t>15x15x5mm</t>
  </si>
  <si>
    <t>24x24x5mm</t>
  </si>
  <si>
    <t>30x24x5mm</t>
  </si>
  <si>
    <t>Pincetas, sterilus, polistirolo, supakuotas po vieną</t>
  </si>
  <si>
    <t>Sterilios, polistirolo Petri arba lygiavertės lėkštelės, 90mm skersmens, be pertvaros</t>
  </si>
  <si>
    <t>Sterilios, polistirolo Petri arba lygiavertės lėkštelės, 90mm skersmens, su pertvara-  padalintos į du sektorius</t>
  </si>
  <si>
    <t>Filtrai, 40 mikronų, skirti kūno skysčių paruošimui prieš citocentrifugavimą.</t>
  </si>
  <si>
    <t>Švirkštinis filtras GD/X vatman (Whatman)arba lygiaverčio tipo. Diametras 25 mm, porų dydis 0,45µm, su prefiltracine GMF 150 ir GF/F stiklo mikro plaušų tarpu, švirkštas įsukamas sriegiu.</t>
  </si>
  <si>
    <t>Inokuliacinės sterilios kilpos 1μl  (suapvalintas galas, nebraižantis agaro, lygus pirštų laikymo paviršius)</t>
  </si>
  <si>
    <t>Inokuliacinės sterilios kilpos 10μl  (suapvalintas galas, nebraižantis agaro, lygus pirštų laikymo paviršius)</t>
  </si>
  <si>
    <t>Histologiniai ašmenys: vienkartiniai mikrotominiai; R35; pagaminti iš nerūdijančio plieno; skirti rotaciniam mikrotomui, parafininių blokų pjovimui; ašmens ilgis - 80 mm; aštrumo kampas - 35⁰</t>
  </si>
  <si>
    <t>74</t>
  </si>
  <si>
    <t>Antgaliai kintamo tūrio mikrodozatoriams (87 pozicijos siūlomos prekės bus perkamos iš vieno tiekėjo) (būtinas antgalių suderinamumas su esamais ligoninėje Biohit/Sartorius mikrodozatoriais):</t>
  </si>
  <si>
    <t>87.1</t>
  </si>
  <si>
    <t>87.2</t>
  </si>
  <si>
    <t>87.3</t>
  </si>
  <si>
    <t>Viso 87 pozicija</t>
  </si>
  <si>
    <t xml:space="preserve">Metalinės, nerūdijančios  formelės parafininių blokų įliejimui ( 96 pozicijos siūlomos prekės bus perkamos iš vieno tiekėjo): </t>
  </si>
  <si>
    <t>96.1</t>
  </si>
  <si>
    <t>96.2</t>
  </si>
  <si>
    <t>96.3</t>
  </si>
  <si>
    <t>96.4</t>
  </si>
  <si>
    <t>Viso 96 pozicija:</t>
  </si>
  <si>
    <t>113</t>
  </si>
  <si>
    <t>Laboratorinis žymėjimo rašiklis, naudojamas ant įvairių laboratorinių priemonių paviršių tokių kaip stiklas ar kasetės,greitai džiūstantis, atsparus ksilenui, alkoholiams, acetonui, formalinui; juodos spalvos.</t>
  </si>
  <si>
    <t>Imunohistocheminis pieštukas, skirtas sumažinti reagentų sunaudojimui atliekant imunodažymus;naudojamas imunodažymo technologijose ant parafininių ar šaldytų pjūvių taip pat ir citologiniams preparatams; netirpus alkoholyje ir acetone.</t>
  </si>
  <si>
    <t>Mikrodozavimo sistema (113 pozicijos siūlomos prekės bus perkamos iš vieno tiekėjo):</t>
  </si>
  <si>
    <t>113.1</t>
  </si>
  <si>
    <t>113.2</t>
  </si>
  <si>
    <t>113.3</t>
  </si>
  <si>
    <t>113.4</t>
  </si>
  <si>
    <t>113.5</t>
  </si>
  <si>
    <t>113.6</t>
  </si>
  <si>
    <t>113.7</t>
  </si>
  <si>
    <t>Viso 113 pozicija</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</si>
  <si>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</si>
  <si>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FL Medical 25135E</t>
  </si>
  <si>
    <t>FL Medical 23053</t>
  </si>
  <si>
    <t>FL Medical 21050</t>
  </si>
  <si>
    <t>Kaltek 0530</t>
  </si>
  <si>
    <t>Kaltek 0534</t>
  </si>
  <si>
    <t>Kaltek 0223</t>
  </si>
  <si>
    <t>Kaltek 2808</t>
  </si>
  <si>
    <t>Deltalab 900010</t>
  </si>
  <si>
    <t>FL Medical 27025</t>
  </si>
  <si>
    <t>FL Medical 27055</t>
  </si>
  <si>
    <t>FL Medical 27078</t>
  </si>
  <si>
    <t>Wenk 9013930</t>
  </si>
  <si>
    <t>Wenk 9013922</t>
  </si>
  <si>
    <t>Heinz Herenz 1131884</t>
  </si>
  <si>
    <t>FL Medical 29162</t>
  </si>
  <si>
    <t>FL Medical 29067</t>
  </si>
  <si>
    <t>Heinz Herenz 1070510</t>
  </si>
  <si>
    <t>Deltalab 302745</t>
  </si>
  <si>
    <t>Deltalab 302755</t>
  </si>
  <si>
    <t>Deltalab 300200</t>
  </si>
  <si>
    <t>Wenk 9072334</t>
  </si>
  <si>
    <t>Wenk 6235704</t>
  </si>
  <si>
    <t>Wenk 9072332</t>
  </si>
  <si>
    <t>Wenk 9170002</t>
  </si>
  <si>
    <t>Thermo Fisher J1800AMNZ</t>
  </si>
  <si>
    <t>HH 1131261</t>
  </si>
  <si>
    <t>Kaltek 0679</t>
  </si>
  <si>
    <t>Sartorius 790014</t>
  </si>
  <si>
    <t>Sartorius LH-B790204</t>
  </si>
  <si>
    <t>Sartorius LH-B791004</t>
  </si>
  <si>
    <t>Kaltek 3646</t>
  </si>
  <si>
    <t>ERMA (PathoCutter II) 08-636-0</t>
  </si>
  <si>
    <t>ERMA (PathoCutter R) 08-636-0</t>
  </si>
  <si>
    <t>ERMA (PathoCutter HP) 08-636-6</t>
  </si>
  <si>
    <t>Kaltek 3645</t>
  </si>
  <si>
    <t>Bio-Optica 08-SPRAY</t>
  </si>
  <si>
    <t>Bio-Optica 07-BM775</t>
  </si>
  <si>
    <t>Bio-Optica 07-BM15155</t>
  </si>
  <si>
    <t>Bio-Optica 07-BM24245</t>
  </si>
  <si>
    <t>Bio-Optica 07-BM30245</t>
  </si>
  <si>
    <t>Kaltek 0913</t>
  </si>
  <si>
    <t>Leica 3801880</t>
  </si>
  <si>
    <t>Zytomed Systems ZUC064</t>
  </si>
  <si>
    <t>Kaltek 3375</t>
  </si>
  <si>
    <t>Sartorius 728020</t>
  </si>
  <si>
    <t>Sartorius 728050</t>
  </si>
  <si>
    <t>Sartorius 728070</t>
  </si>
  <si>
    <t>Sartorius 725600</t>
  </si>
  <si>
    <t>Cancer Diagnostics LHPJ00H</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</si>
</sst>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6"/>
      <name val="Times New Roman"/>
      <family val="1"/>
      <charset val="186"/>
    </font>
    <font>
      <sz val="10"/>
      <name val="Times New Roman"/>
      <family val="1"/>
      <charset val="186"/>
    </font>
    <font>
      <sz val="10"/>
      <name val="Times New Roman"/>
      <family val="1"/>
    </font>
    <font>
      <sz val="10"/>
      <color theme="1"/>
      <name val="Times New Roman"/>
      <family val="1"/>
      <charset val="186"/>
    </font>
    <font>
      <b/>
      <sz val="10"/>
      <name val="Times New Roman"/>
      <family val="1"/>
      <charset val="186"/>
    </font>
    <font>
      <b/>
      <sz val="10"/>
      <name val="Times New Roman"/>
      <family val="1"/>
    </font>
    <font>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2" fillId="0" borderId="0" xfId="0" applyFont="1" applyAlignment="1">
      <alignment vertical="top"/>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5" fillId="0" borderId="1" xfId="0"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vertical="top"/>
    </xf>
    <xf numFmtId="0" fontId="4" fillId="0" borderId="1" xfId="0" applyFont="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2" fillId="2" borderId="1" xfId="0" applyFont="1" applyFill="1" applyBorder="1" applyAlignment="1">
      <alignment horizontal="center" vertical="top" wrapText="1"/>
    </xf>
    <xf numFmtId="0" fontId="6" fillId="2" borderId="1" xfId="0" applyFont="1" applyFill="1" applyBorder="1" applyAlignment="1">
      <alignment horizontal="right" vertical="top" wrapText="1"/>
    </xf>
    <xf numFmtId="0" fontId="5" fillId="2" borderId="1" xfId="0" applyFont="1" applyFill="1" applyBorder="1" applyAlignment="1">
      <alignment horizontal="right" vertical="top" wrapText="1"/>
    </xf>
    <xf numFmtId="0" fontId="4" fillId="0" borderId="1" xfId="0" applyFont="1" applyBorder="1" applyAlignment="1">
      <alignment wrapText="1"/>
    </xf>
    <xf numFmtId="0" fontId="1" fillId="0" borderId="0" xfId="0" applyFont="1" applyAlignment="1">
      <alignment horizontal="center" vertical="top" wrapText="1"/>
    </xf>
    <xf numFmtId="2" fontId="2" fillId="0" borderId="1" xfId="0" applyNumberFormat="1" applyFont="1" applyBorder="1" applyAlignment="1">
      <alignment vertical="top" wrapText="1"/>
    </xf>
    <xf numFmtId="2" fontId="7" fillId="0" borderId="0" xfId="0" applyNumberFormat="1" applyFont="1"/>
    <xf numFmtId="2" fontId="2" fillId="0" borderId="1" xfId="0" applyNumberFormat="1" applyFont="1" applyBorder="1" applyAlignment="1">
      <alignment vertical="top"/>
    </xf>
    <xf numFmtId="49" fontId="3" fillId="3" borderId="1" xfId="0" applyNumberFormat="1" applyFont="1" applyFill="1" applyBorder="1" applyAlignment="1">
      <alignment horizontal="center" vertical="top" wrapText="1"/>
    </xf>
    <xf numFmtId="2" fontId="2" fillId="2" borderId="1" xfId="0" applyNumberFormat="1" applyFont="1" applyFill="1" applyBorder="1" applyAlignment="1">
      <alignment vertical="top" wrapText="1"/>
    </xf>
    <xf numFmtId="0" fontId="7" fillId="0" borderId="1" xfId="0" applyFont="1" applyBorder="1"/>
    <xf numFmtId="0" fontId="4" fillId="0" borderId="1" xfId="0" applyFont="1" applyBorder="1"/>
    <xf numFmtId="0" fontId="7" fillId="0" borderId="1" xfId="0" applyFont="1" applyBorder="1" applyAlignment="1">
      <alignment wrapText="1"/>
    </xf>
    <xf numFmtId="0" fontId="7" fillId="0" borderId="0" xfId="0" applyFont="1" applyAlignment="1">
      <alignment vertical="top"/>
    </xf>
    <xf numFmtId="0" fontId="7" fillId="0" borderId="1" xfId="0" applyFont="1" applyBorder="1" applyAlignment="1">
      <alignment vertical="top"/>
    </xf>
    <xf numFmtId="2" fontId="7" fillId="0" borderId="1" xfId="0" applyNumberFormat="1" applyFont="1" applyBorder="1"/>
    <xf numFmtId="0" fontId="4" fillId="0" borderId="1" xfId="0" applyFont="1" applyBorder="1" applyAlignment="1">
      <alignment vertical="top"/>
    </xf>
    <xf numFmtId="2" fontId="7"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abSelected="1" topLeftCell="A49" zoomScale="125" zoomScaleNormal="125" workbookViewId="0">
      <selection activeCell="J49" sqref="J49"/>
    </sheetView>
  </sheetViews>
  <sheetFormatPr defaultRowHeight="12.75" x14ac:dyDescent="0.25"/>
  <cols>
    <col min="1" max="1" width="7.85546875" style="21" customWidth="1"/>
    <col min="2" max="2" width="68" style="22" customWidth="1"/>
    <col min="3" max="3" width="11.5703125" style="2" customWidth="1"/>
    <col min="4" max="4" width="7.28515625" style="2" customWidth="1"/>
    <col min="5" max="5" width="6.28515625" style="2" customWidth="1"/>
    <col min="6" max="7" width="7.85546875" style="2" customWidth="1"/>
    <col min="8" max="8" width="22" style="2" customWidth="1"/>
    <col min="9" max="256" width="9.140625" style="2"/>
    <col min="257" max="257" width="6.28515625" style="2" customWidth="1"/>
    <col min="258" max="258" width="63.140625" style="2" customWidth="1"/>
    <col min="259" max="259" width="15.28515625" style="2" customWidth="1"/>
    <col min="260" max="260" width="9.85546875" style="2" customWidth="1"/>
    <col min="261" max="261" width="8.42578125" style="2" customWidth="1"/>
    <col min="262" max="262" width="9.5703125" style="2" customWidth="1"/>
    <col min="263" max="263" width="9.42578125" style="2" customWidth="1"/>
    <col min="264" max="264" width="20.85546875" style="2" customWidth="1"/>
    <col min="265" max="512" width="9.140625" style="2"/>
    <col min="513" max="513" width="6.28515625" style="2" customWidth="1"/>
    <col min="514" max="514" width="63.140625" style="2" customWidth="1"/>
    <col min="515" max="515" width="15.28515625" style="2" customWidth="1"/>
    <col min="516" max="516" width="9.85546875" style="2" customWidth="1"/>
    <col min="517" max="517" width="8.42578125" style="2" customWidth="1"/>
    <col min="518" max="518" width="9.5703125" style="2" customWidth="1"/>
    <col min="519" max="519" width="9.42578125" style="2" customWidth="1"/>
    <col min="520" max="520" width="20.85546875" style="2" customWidth="1"/>
    <col min="521" max="768" width="9.140625" style="2"/>
    <col min="769" max="769" width="6.28515625" style="2" customWidth="1"/>
    <col min="770" max="770" width="63.140625" style="2" customWidth="1"/>
    <col min="771" max="771" width="15.28515625" style="2" customWidth="1"/>
    <col min="772" max="772" width="9.85546875" style="2" customWidth="1"/>
    <col min="773" max="773" width="8.42578125" style="2" customWidth="1"/>
    <col min="774" max="774" width="9.5703125" style="2" customWidth="1"/>
    <col min="775" max="775" width="9.42578125" style="2" customWidth="1"/>
    <col min="776" max="776" width="20.85546875" style="2" customWidth="1"/>
    <col min="777" max="1024" width="9.140625" style="2"/>
    <col min="1025" max="1025" width="6.28515625" style="2" customWidth="1"/>
    <col min="1026" max="1026" width="63.140625" style="2" customWidth="1"/>
    <col min="1027" max="1027" width="15.28515625" style="2" customWidth="1"/>
    <col min="1028" max="1028" width="9.85546875" style="2" customWidth="1"/>
    <col min="1029" max="1029" width="8.42578125" style="2" customWidth="1"/>
    <col min="1030" max="1030" width="9.5703125" style="2" customWidth="1"/>
    <col min="1031" max="1031" width="9.42578125" style="2" customWidth="1"/>
    <col min="1032" max="1032" width="20.85546875" style="2" customWidth="1"/>
    <col min="1033" max="1280" width="9.140625" style="2"/>
    <col min="1281" max="1281" width="6.28515625" style="2" customWidth="1"/>
    <col min="1282" max="1282" width="63.140625" style="2" customWidth="1"/>
    <col min="1283" max="1283" width="15.28515625" style="2" customWidth="1"/>
    <col min="1284" max="1284" width="9.85546875" style="2" customWidth="1"/>
    <col min="1285" max="1285" width="8.42578125" style="2" customWidth="1"/>
    <col min="1286" max="1286" width="9.5703125" style="2" customWidth="1"/>
    <col min="1287" max="1287" width="9.42578125" style="2" customWidth="1"/>
    <col min="1288" max="1288" width="20.85546875" style="2" customWidth="1"/>
    <col min="1289" max="1536" width="9.140625" style="2"/>
    <col min="1537" max="1537" width="6.28515625" style="2" customWidth="1"/>
    <col min="1538" max="1538" width="63.140625" style="2" customWidth="1"/>
    <col min="1539" max="1539" width="15.28515625" style="2" customWidth="1"/>
    <col min="1540" max="1540" width="9.85546875" style="2" customWidth="1"/>
    <col min="1541" max="1541" width="8.42578125" style="2" customWidth="1"/>
    <col min="1542" max="1542" width="9.5703125" style="2" customWidth="1"/>
    <col min="1543" max="1543" width="9.42578125" style="2" customWidth="1"/>
    <col min="1544" max="1544" width="20.85546875" style="2" customWidth="1"/>
    <col min="1545" max="1792" width="9.140625" style="2"/>
    <col min="1793" max="1793" width="6.28515625" style="2" customWidth="1"/>
    <col min="1794" max="1794" width="63.140625" style="2" customWidth="1"/>
    <col min="1795" max="1795" width="15.28515625" style="2" customWidth="1"/>
    <col min="1796" max="1796" width="9.85546875" style="2" customWidth="1"/>
    <col min="1797" max="1797" width="8.42578125" style="2" customWidth="1"/>
    <col min="1798" max="1798" width="9.5703125" style="2" customWidth="1"/>
    <col min="1799" max="1799" width="9.42578125" style="2" customWidth="1"/>
    <col min="1800" max="1800" width="20.85546875" style="2" customWidth="1"/>
    <col min="1801" max="2048" width="9.140625" style="2"/>
    <col min="2049" max="2049" width="6.28515625" style="2" customWidth="1"/>
    <col min="2050" max="2050" width="63.140625" style="2" customWidth="1"/>
    <col min="2051" max="2051" width="15.28515625" style="2" customWidth="1"/>
    <col min="2052" max="2052" width="9.85546875" style="2" customWidth="1"/>
    <col min="2053" max="2053" width="8.42578125" style="2" customWidth="1"/>
    <col min="2054" max="2054" width="9.5703125" style="2" customWidth="1"/>
    <col min="2055" max="2055" width="9.42578125" style="2" customWidth="1"/>
    <col min="2056" max="2056" width="20.85546875" style="2" customWidth="1"/>
    <col min="2057" max="2304" width="9.140625" style="2"/>
    <col min="2305" max="2305" width="6.28515625" style="2" customWidth="1"/>
    <col min="2306" max="2306" width="63.140625" style="2" customWidth="1"/>
    <col min="2307" max="2307" width="15.28515625" style="2" customWidth="1"/>
    <col min="2308" max="2308" width="9.85546875" style="2" customWidth="1"/>
    <col min="2309" max="2309" width="8.42578125" style="2" customWidth="1"/>
    <col min="2310" max="2310" width="9.5703125" style="2" customWidth="1"/>
    <col min="2311" max="2311" width="9.42578125" style="2" customWidth="1"/>
    <col min="2312" max="2312" width="20.85546875" style="2" customWidth="1"/>
    <col min="2313" max="2560" width="9.140625" style="2"/>
    <col min="2561" max="2561" width="6.28515625" style="2" customWidth="1"/>
    <col min="2562" max="2562" width="63.140625" style="2" customWidth="1"/>
    <col min="2563" max="2563" width="15.28515625" style="2" customWidth="1"/>
    <col min="2564" max="2564" width="9.85546875" style="2" customWidth="1"/>
    <col min="2565" max="2565" width="8.42578125" style="2" customWidth="1"/>
    <col min="2566" max="2566" width="9.5703125" style="2" customWidth="1"/>
    <col min="2567" max="2567" width="9.42578125" style="2" customWidth="1"/>
    <col min="2568" max="2568" width="20.85546875" style="2" customWidth="1"/>
    <col min="2569" max="2816" width="9.140625" style="2"/>
    <col min="2817" max="2817" width="6.28515625" style="2" customWidth="1"/>
    <col min="2818" max="2818" width="63.140625" style="2" customWidth="1"/>
    <col min="2819" max="2819" width="15.28515625" style="2" customWidth="1"/>
    <col min="2820" max="2820" width="9.85546875" style="2" customWidth="1"/>
    <col min="2821" max="2821" width="8.42578125" style="2" customWidth="1"/>
    <col min="2822" max="2822" width="9.5703125" style="2" customWidth="1"/>
    <col min="2823" max="2823" width="9.42578125" style="2" customWidth="1"/>
    <col min="2824" max="2824" width="20.85546875" style="2" customWidth="1"/>
    <col min="2825" max="3072" width="9.140625" style="2"/>
    <col min="3073" max="3073" width="6.28515625" style="2" customWidth="1"/>
    <col min="3074" max="3074" width="63.140625" style="2" customWidth="1"/>
    <col min="3075" max="3075" width="15.28515625" style="2" customWidth="1"/>
    <col min="3076" max="3076" width="9.85546875" style="2" customWidth="1"/>
    <col min="3077" max="3077" width="8.42578125" style="2" customWidth="1"/>
    <col min="3078" max="3078" width="9.5703125" style="2" customWidth="1"/>
    <col min="3079" max="3079" width="9.42578125" style="2" customWidth="1"/>
    <col min="3080" max="3080" width="20.85546875" style="2" customWidth="1"/>
    <col min="3081" max="3328" width="9.140625" style="2"/>
    <col min="3329" max="3329" width="6.28515625" style="2" customWidth="1"/>
    <col min="3330" max="3330" width="63.140625" style="2" customWidth="1"/>
    <col min="3331" max="3331" width="15.28515625" style="2" customWidth="1"/>
    <col min="3332" max="3332" width="9.85546875" style="2" customWidth="1"/>
    <col min="3333" max="3333" width="8.42578125" style="2" customWidth="1"/>
    <col min="3334" max="3334" width="9.5703125" style="2" customWidth="1"/>
    <col min="3335" max="3335" width="9.42578125" style="2" customWidth="1"/>
    <col min="3336" max="3336" width="20.85546875" style="2" customWidth="1"/>
    <col min="3337" max="3584" width="9.140625" style="2"/>
    <col min="3585" max="3585" width="6.28515625" style="2" customWidth="1"/>
    <col min="3586" max="3586" width="63.140625" style="2" customWidth="1"/>
    <col min="3587" max="3587" width="15.28515625" style="2" customWidth="1"/>
    <col min="3588" max="3588" width="9.85546875" style="2" customWidth="1"/>
    <col min="3589" max="3589" width="8.42578125" style="2" customWidth="1"/>
    <col min="3590" max="3590" width="9.5703125" style="2" customWidth="1"/>
    <col min="3591" max="3591" width="9.42578125" style="2" customWidth="1"/>
    <col min="3592" max="3592" width="20.85546875" style="2" customWidth="1"/>
    <col min="3593" max="3840" width="9.140625" style="2"/>
    <col min="3841" max="3841" width="6.28515625" style="2" customWidth="1"/>
    <col min="3842" max="3842" width="63.140625" style="2" customWidth="1"/>
    <col min="3843" max="3843" width="15.28515625" style="2" customWidth="1"/>
    <col min="3844" max="3844" width="9.85546875" style="2" customWidth="1"/>
    <col min="3845" max="3845" width="8.42578125" style="2" customWidth="1"/>
    <col min="3846" max="3846" width="9.5703125" style="2" customWidth="1"/>
    <col min="3847" max="3847" width="9.42578125" style="2" customWidth="1"/>
    <col min="3848" max="3848" width="20.85546875" style="2" customWidth="1"/>
    <col min="3849" max="4096" width="9.140625" style="2"/>
    <col min="4097" max="4097" width="6.28515625" style="2" customWidth="1"/>
    <col min="4098" max="4098" width="63.140625" style="2" customWidth="1"/>
    <col min="4099" max="4099" width="15.28515625" style="2" customWidth="1"/>
    <col min="4100" max="4100" width="9.85546875" style="2" customWidth="1"/>
    <col min="4101" max="4101" width="8.42578125" style="2" customWidth="1"/>
    <col min="4102" max="4102" width="9.5703125" style="2" customWidth="1"/>
    <col min="4103" max="4103" width="9.42578125" style="2" customWidth="1"/>
    <col min="4104" max="4104" width="20.85546875" style="2" customWidth="1"/>
    <col min="4105" max="4352" width="9.140625" style="2"/>
    <col min="4353" max="4353" width="6.28515625" style="2" customWidth="1"/>
    <col min="4354" max="4354" width="63.140625" style="2" customWidth="1"/>
    <col min="4355" max="4355" width="15.28515625" style="2" customWidth="1"/>
    <col min="4356" max="4356" width="9.85546875" style="2" customWidth="1"/>
    <col min="4357" max="4357" width="8.42578125" style="2" customWidth="1"/>
    <col min="4358" max="4358" width="9.5703125" style="2" customWidth="1"/>
    <col min="4359" max="4359" width="9.42578125" style="2" customWidth="1"/>
    <col min="4360" max="4360" width="20.85546875" style="2" customWidth="1"/>
    <col min="4361" max="4608" width="9.140625" style="2"/>
    <col min="4609" max="4609" width="6.28515625" style="2" customWidth="1"/>
    <col min="4610" max="4610" width="63.140625" style="2" customWidth="1"/>
    <col min="4611" max="4611" width="15.28515625" style="2" customWidth="1"/>
    <col min="4612" max="4612" width="9.85546875" style="2" customWidth="1"/>
    <col min="4613" max="4613" width="8.42578125" style="2" customWidth="1"/>
    <col min="4614" max="4614" width="9.5703125" style="2" customWidth="1"/>
    <col min="4615" max="4615" width="9.42578125" style="2" customWidth="1"/>
    <col min="4616" max="4616" width="20.85546875" style="2" customWidth="1"/>
    <col min="4617" max="4864" width="9.140625" style="2"/>
    <col min="4865" max="4865" width="6.28515625" style="2" customWidth="1"/>
    <col min="4866" max="4866" width="63.140625" style="2" customWidth="1"/>
    <col min="4867" max="4867" width="15.28515625" style="2" customWidth="1"/>
    <col min="4868" max="4868" width="9.85546875" style="2" customWidth="1"/>
    <col min="4869" max="4869" width="8.42578125" style="2" customWidth="1"/>
    <col min="4870" max="4870" width="9.5703125" style="2" customWidth="1"/>
    <col min="4871" max="4871" width="9.42578125" style="2" customWidth="1"/>
    <col min="4872" max="4872" width="20.85546875" style="2" customWidth="1"/>
    <col min="4873" max="5120" width="9.140625" style="2"/>
    <col min="5121" max="5121" width="6.28515625" style="2" customWidth="1"/>
    <col min="5122" max="5122" width="63.140625" style="2" customWidth="1"/>
    <col min="5123" max="5123" width="15.28515625" style="2" customWidth="1"/>
    <col min="5124" max="5124" width="9.85546875" style="2" customWidth="1"/>
    <col min="5125" max="5125" width="8.42578125" style="2" customWidth="1"/>
    <col min="5126" max="5126" width="9.5703125" style="2" customWidth="1"/>
    <col min="5127" max="5127" width="9.42578125" style="2" customWidth="1"/>
    <col min="5128" max="5128" width="20.85546875" style="2" customWidth="1"/>
    <col min="5129" max="5376" width="9.140625" style="2"/>
    <col min="5377" max="5377" width="6.28515625" style="2" customWidth="1"/>
    <col min="5378" max="5378" width="63.140625" style="2" customWidth="1"/>
    <col min="5379" max="5379" width="15.28515625" style="2" customWidth="1"/>
    <col min="5380" max="5380" width="9.85546875" style="2" customWidth="1"/>
    <col min="5381" max="5381" width="8.42578125" style="2" customWidth="1"/>
    <col min="5382" max="5382" width="9.5703125" style="2" customWidth="1"/>
    <col min="5383" max="5383" width="9.42578125" style="2" customWidth="1"/>
    <col min="5384" max="5384" width="20.85546875" style="2" customWidth="1"/>
    <col min="5385" max="5632" width="9.140625" style="2"/>
    <col min="5633" max="5633" width="6.28515625" style="2" customWidth="1"/>
    <col min="5634" max="5634" width="63.140625" style="2" customWidth="1"/>
    <col min="5635" max="5635" width="15.28515625" style="2" customWidth="1"/>
    <col min="5636" max="5636" width="9.85546875" style="2" customWidth="1"/>
    <col min="5637" max="5637" width="8.42578125" style="2" customWidth="1"/>
    <col min="5638" max="5638" width="9.5703125" style="2" customWidth="1"/>
    <col min="5639" max="5639" width="9.42578125" style="2" customWidth="1"/>
    <col min="5640" max="5640" width="20.85546875" style="2" customWidth="1"/>
    <col min="5641" max="5888" width="9.140625" style="2"/>
    <col min="5889" max="5889" width="6.28515625" style="2" customWidth="1"/>
    <col min="5890" max="5890" width="63.140625" style="2" customWidth="1"/>
    <col min="5891" max="5891" width="15.28515625" style="2" customWidth="1"/>
    <col min="5892" max="5892" width="9.85546875" style="2" customWidth="1"/>
    <col min="5893" max="5893" width="8.42578125" style="2" customWidth="1"/>
    <col min="5894" max="5894" width="9.5703125" style="2" customWidth="1"/>
    <col min="5895" max="5895" width="9.42578125" style="2" customWidth="1"/>
    <col min="5896" max="5896" width="20.85546875" style="2" customWidth="1"/>
    <col min="5897" max="6144" width="9.140625" style="2"/>
    <col min="6145" max="6145" width="6.28515625" style="2" customWidth="1"/>
    <col min="6146" max="6146" width="63.140625" style="2" customWidth="1"/>
    <col min="6147" max="6147" width="15.28515625" style="2" customWidth="1"/>
    <col min="6148" max="6148" width="9.85546875" style="2" customWidth="1"/>
    <col min="6149" max="6149" width="8.42578125" style="2" customWidth="1"/>
    <col min="6150" max="6150" width="9.5703125" style="2" customWidth="1"/>
    <col min="6151" max="6151" width="9.42578125" style="2" customWidth="1"/>
    <col min="6152" max="6152" width="20.85546875" style="2" customWidth="1"/>
    <col min="6153" max="6400" width="9.140625" style="2"/>
    <col min="6401" max="6401" width="6.28515625" style="2" customWidth="1"/>
    <col min="6402" max="6402" width="63.140625" style="2" customWidth="1"/>
    <col min="6403" max="6403" width="15.28515625" style="2" customWidth="1"/>
    <col min="6404" max="6404" width="9.85546875" style="2" customWidth="1"/>
    <col min="6405" max="6405" width="8.42578125" style="2" customWidth="1"/>
    <col min="6406" max="6406" width="9.5703125" style="2" customWidth="1"/>
    <col min="6407" max="6407" width="9.42578125" style="2" customWidth="1"/>
    <col min="6408" max="6408" width="20.85546875" style="2" customWidth="1"/>
    <col min="6409" max="6656" width="9.140625" style="2"/>
    <col min="6657" max="6657" width="6.28515625" style="2" customWidth="1"/>
    <col min="6658" max="6658" width="63.140625" style="2" customWidth="1"/>
    <col min="6659" max="6659" width="15.28515625" style="2" customWidth="1"/>
    <col min="6660" max="6660" width="9.85546875" style="2" customWidth="1"/>
    <col min="6661" max="6661" width="8.42578125" style="2" customWidth="1"/>
    <col min="6662" max="6662" width="9.5703125" style="2" customWidth="1"/>
    <col min="6663" max="6663" width="9.42578125" style="2" customWidth="1"/>
    <col min="6664" max="6664" width="20.85546875" style="2" customWidth="1"/>
    <col min="6665" max="6912" width="9.140625" style="2"/>
    <col min="6913" max="6913" width="6.28515625" style="2" customWidth="1"/>
    <col min="6914" max="6914" width="63.140625" style="2" customWidth="1"/>
    <col min="6915" max="6915" width="15.28515625" style="2" customWidth="1"/>
    <col min="6916" max="6916" width="9.85546875" style="2" customWidth="1"/>
    <col min="6917" max="6917" width="8.42578125" style="2" customWidth="1"/>
    <col min="6918" max="6918" width="9.5703125" style="2" customWidth="1"/>
    <col min="6919" max="6919" width="9.42578125" style="2" customWidth="1"/>
    <col min="6920" max="6920" width="20.85546875" style="2" customWidth="1"/>
    <col min="6921" max="7168" width="9.140625" style="2"/>
    <col min="7169" max="7169" width="6.28515625" style="2" customWidth="1"/>
    <col min="7170" max="7170" width="63.140625" style="2" customWidth="1"/>
    <col min="7171" max="7171" width="15.28515625" style="2" customWidth="1"/>
    <col min="7172" max="7172" width="9.85546875" style="2" customWidth="1"/>
    <col min="7173" max="7173" width="8.42578125" style="2" customWidth="1"/>
    <col min="7174" max="7174" width="9.5703125" style="2" customWidth="1"/>
    <col min="7175" max="7175" width="9.42578125" style="2" customWidth="1"/>
    <col min="7176" max="7176" width="20.85546875" style="2" customWidth="1"/>
    <col min="7177" max="7424" width="9.140625" style="2"/>
    <col min="7425" max="7425" width="6.28515625" style="2" customWidth="1"/>
    <col min="7426" max="7426" width="63.140625" style="2" customWidth="1"/>
    <col min="7427" max="7427" width="15.28515625" style="2" customWidth="1"/>
    <col min="7428" max="7428" width="9.85546875" style="2" customWidth="1"/>
    <col min="7429" max="7429" width="8.42578125" style="2" customWidth="1"/>
    <col min="7430" max="7430" width="9.5703125" style="2" customWidth="1"/>
    <col min="7431" max="7431" width="9.42578125" style="2" customWidth="1"/>
    <col min="7432" max="7432" width="20.85546875" style="2" customWidth="1"/>
    <col min="7433" max="7680" width="9.140625" style="2"/>
    <col min="7681" max="7681" width="6.28515625" style="2" customWidth="1"/>
    <col min="7682" max="7682" width="63.140625" style="2" customWidth="1"/>
    <col min="7683" max="7683" width="15.28515625" style="2" customWidth="1"/>
    <col min="7684" max="7684" width="9.85546875" style="2" customWidth="1"/>
    <col min="7685" max="7685" width="8.42578125" style="2" customWidth="1"/>
    <col min="7686" max="7686" width="9.5703125" style="2" customWidth="1"/>
    <col min="7687" max="7687" width="9.42578125" style="2" customWidth="1"/>
    <col min="7688" max="7688" width="20.85546875" style="2" customWidth="1"/>
    <col min="7689" max="7936" width="9.140625" style="2"/>
    <col min="7937" max="7937" width="6.28515625" style="2" customWidth="1"/>
    <col min="7938" max="7938" width="63.140625" style="2" customWidth="1"/>
    <col min="7939" max="7939" width="15.28515625" style="2" customWidth="1"/>
    <col min="7940" max="7940" width="9.85546875" style="2" customWidth="1"/>
    <col min="7941" max="7941" width="8.42578125" style="2" customWidth="1"/>
    <col min="7942" max="7942" width="9.5703125" style="2" customWidth="1"/>
    <col min="7943" max="7943" width="9.42578125" style="2" customWidth="1"/>
    <col min="7944" max="7944" width="20.85546875" style="2" customWidth="1"/>
    <col min="7945" max="8192" width="9.140625" style="2"/>
    <col min="8193" max="8193" width="6.28515625" style="2" customWidth="1"/>
    <col min="8194" max="8194" width="63.140625" style="2" customWidth="1"/>
    <col min="8195" max="8195" width="15.28515625" style="2" customWidth="1"/>
    <col min="8196" max="8196" width="9.85546875" style="2" customWidth="1"/>
    <col min="8197" max="8197" width="8.42578125" style="2" customWidth="1"/>
    <col min="8198" max="8198" width="9.5703125" style="2" customWidth="1"/>
    <col min="8199" max="8199" width="9.42578125" style="2" customWidth="1"/>
    <col min="8200" max="8200" width="20.85546875" style="2" customWidth="1"/>
    <col min="8201" max="8448" width="9.140625" style="2"/>
    <col min="8449" max="8449" width="6.28515625" style="2" customWidth="1"/>
    <col min="8450" max="8450" width="63.140625" style="2" customWidth="1"/>
    <col min="8451" max="8451" width="15.28515625" style="2" customWidth="1"/>
    <col min="8452" max="8452" width="9.85546875" style="2" customWidth="1"/>
    <col min="8453" max="8453" width="8.42578125" style="2" customWidth="1"/>
    <col min="8454" max="8454" width="9.5703125" style="2" customWidth="1"/>
    <col min="8455" max="8455" width="9.42578125" style="2" customWidth="1"/>
    <col min="8456" max="8456" width="20.85546875" style="2" customWidth="1"/>
    <col min="8457" max="8704" width="9.140625" style="2"/>
    <col min="8705" max="8705" width="6.28515625" style="2" customWidth="1"/>
    <col min="8706" max="8706" width="63.140625" style="2" customWidth="1"/>
    <col min="8707" max="8707" width="15.28515625" style="2" customWidth="1"/>
    <col min="8708" max="8708" width="9.85546875" style="2" customWidth="1"/>
    <col min="8709" max="8709" width="8.42578125" style="2" customWidth="1"/>
    <col min="8710" max="8710" width="9.5703125" style="2" customWidth="1"/>
    <col min="8711" max="8711" width="9.42578125" style="2" customWidth="1"/>
    <col min="8712" max="8712" width="20.85546875" style="2" customWidth="1"/>
    <col min="8713" max="8960" width="9.140625" style="2"/>
    <col min="8961" max="8961" width="6.28515625" style="2" customWidth="1"/>
    <col min="8962" max="8962" width="63.140625" style="2" customWidth="1"/>
    <col min="8963" max="8963" width="15.28515625" style="2" customWidth="1"/>
    <col min="8964" max="8964" width="9.85546875" style="2" customWidth="1"/>
    <col min="8965" max="8965" width="8.42578125" style="2" customWidth="1"/>
    <col min="8966" max="8966" width="9.5703125" style="2" customWidth="1"/>
    <col min="8967" max="8967" width="9.42578125" style="2" customWidth="1"/>
    <col min="8968" max="8968" width="20.85546875" style="2" customWidth="1"/>
    <col min="8969" max="9216" width="9.140625" style="2"/>
    <col min="9217" max="9217" width="6.28515625" style="2" customWidth="1"/>
    <col min="9218" max="9218" width="63.140625" style="2" customWidth="1"/>
    <col min="9219" max="9219" width="15.28515625" style="2" customWidth="1"/>
    <col min="9220" max="9220" width="9.85546875" style="2" customWidth="1"/>
    <col min="9221" max="9221" width="8.42578125" style="2" customWidth="1"/>
    <col min="9222" max="9222" width="9.5703125" style="2" customWidth="1"/>
    <col min="9223" max="9223" width="9.42578125" style="2" customWidth="1"/>
    <col min="9224" max="9224" width="20.85546875" style="2" customWidth="1"/>
    <col min="9225" max="9472" width="9.140625" style="2"/>
    <col min="9473" max="9473" width="6.28515625" style="2" customWidth="1"/>
    <col min="9474" max="9474" width="63.140625" style="2" customWidth="1"/>
    <col min="9475" max="9475" width="15.28515625" style="2" customWidth="1"/>
    <col min="9476" max="9476" width="9.85546875" style="2" customWidth="1"/>
    <col min="9477" max="9477" width="8.42578125" style="2" customWidth="1"/>
    <col min="9478" max="9478" width="9.5703125" style="2" customWidth="1"/>
    <col min="9479" max="9479" width="9.42578125" style="2" customWidth="1"/>
    <col min="9480" max="9480" width="20.85546875" style="2" customWidth="1"/>
    <col min="9481" max="9728" width="9.140625" style="2"/>
    <col min="9729" max="9729" width="6.28515625" style="2" customWidth="1"/>
    <col min="9730" max="9730" width="63.140625" style="2" customWidth="1"/>
    <col min="9731" max="9731" width="15.28515625" style="2" customWidth="1"/>
    <col min="9732" max="9732" width="9.85546875" style="2" customWidth="1"/>
    <col min="9733" max="9733" width="8.42578125" style="2" customWidth="1"/>
    <col min="9734" max="9734" width="9.5703125" style="2" customWidth="1"/>
    <col min="9735" max="9735" width="9.42578125" style="2" customWidth="1"/>
    <col min="9736" max="9736" width="20.85546875" style="2" customWidth="1"/>
    <col min="9737" max="9984" width="9.140625" style="2"/>
    <col min="9985" max="9985" width="6.28515625" style="2" customWidth="1"/>
    <col min="9986" max="9986" width="63.140625" style="2" customWidth="1"/>
    <col min="9987" max="9987" width="15.28515625" style="2" customWidth="1"/>
    <col min="9988" max="9988" width="9.85546875" style="2" customWidth="1"/>
    <col min="9989" max="9989" width="8.42578125" style="2" customWidth="1"/>
    <col min="9990" max="9990" width="9.5703125" style="2" customWidth="1"/>
    <col min="9991" max="9991" width="9.42578125" style="2" customWidth="1"/>
    <col min="9992" max="9992" width="20.85546875" style="2" customWidth="1"/>
    <col min="9993" max="10240" width="9.140625" style="2"/>
    <col min="10241" max="10241" width="6.28515625" style="2" customWidth="1"/>
    <col min="10242" max="10242" width="63.140625" style="2" customWidth="1"/>
    <col min="10243" max="10243" width="15.28515625" style="2" customWidth="1"/>
    <col min="10244" max="10244" width="9.85546875" style="2" customWidth="1"/>
    <col min="10245" max="10245" width="8.42578125" style="2" customWidth="1"/>
    <col min="10246" max="10246" width="9.5703125" style="2" customWidth="1"/>
    <col min="10247" max="10247" width="9.42578125" style="2" customWidth="1"/>
    <col min="10248" max="10248" width="20.85546875" style="2" customWidth="1"/>
    <col min="10249" max="10496" width="9.140625" style="2"/>
    <col min="10497" max="10497" width="6.28515625" style="2" customWidth="1"/>
    <col min="10498" max="10498" width="63.140625" style="2" customWidth="1"/>
    <col min="10499" max="10499" width="15.28515625" style="2" customWidth="1"/>
    <col min="10500" max="10500" width="9.85546875" style="2" customWidth="1"/>
    <col min="10501" max="10501" width="8.42578125" style="2" customWidth="1"/>
    <col min="10502" max="10502" width="9.5703125" style="2" customWidth="1"/>
    <col min="10503" max="10503" width="9.42578125" style="2" customWidth="1"/>
    <col min="10504" max="10504" width="20.85546875" style="2" customWidth="1"/>
    <col min="10505" max="10752" width="9.140625" style="2"/>
    <col min="10753" max="10753" width="6.28515625" style="2" customWidth="1"/>
    <col min="10754" max="10754" width="63.140625" style="2" customWidth="1"/>
    <col min="10755" max="10755" width="15.28515625" style="2" customWidth="1"/>
    <col min="10756" max="10756" width="9.85546875" style="2" customWidth="1"/>
    <col min="10757" max="10757" width="8.42578125" style="2" customWidth="1"/>
    <col min="10758" max="10758" width="9.5703125" style="2" customWidth="1"/>
    <col min="10759" max="10759" width="9.42578125" style="2" customWidth="1"/>
    <col min="10760" max="10760" width="20.85546875" style="2" customWidth="1"/>
    <col min="10761" max="11008" width="9.140625" style="2"/>
    <col min="11009" max="11009" width="6.28515625" style="2" customWidth="1"/>
    <col min="11010" max="11010" width="63.140625" style="2" customWidth="1"/>
    <col min="11011" max="11011" width="15.28515625" style="2" customWidth="1"/>
    <col min="11012" max="11012" width="9.85546875" style="2" customWidth="1"/>
    <col min="11013" max="11013" width="8.42578125" style="2" customWidth="1"/>
    <col min="11014" max="11014" width="9.5703125" style="2" customWidth="1"/>
    <col min="11015" max="11015" width="9.42578125" style="2" customWidth="1"/>
    <col min="11016" max="11016" width="20.85546875" style="2" customWidth="1"/>
    <col min="11017" max="11264" width="9.140625" style="2"/>
    <col min="11265" max="11265" width="6.28515625" style="2" customWidth="1"/>
    <col min="11266" max="11266" width="63.140625" style="2" customWidth="1"/>
    <col min="11267" max="11267" width="15.28515625" style="2" customWidth="1"/>
    <col min="11268" max="11268" width="9.85546875" style="2" customWidth="1"/>
    <col min="11269" max="11269" width="8.42578125" style="2" customWidth="1"/>
    <col min="11270" max="11270" width="9.5703125" style="2" customWidth="1"/>
    <col min="11271" max="11271" width="9.42578125" style="2" customWidth="1"/>
    <col min="11272" max="11272" width="20.85546875" style="2" customWidth="1"/>
    <col min="11273" max="11520" width="9.140625" style="2"/>
    <col min="11521" max="11521" width="6.28515625" style="2" customWidth="1"/>
    <col min="11522" max="11522" width="63.140625" style="2" customWidth="1"/>
    <col min="11523" max="11523" width="15.28515625" style="2" customWidth="1"/>
    <col min="11524" max="11524" width="9.85546875" style="2" customWidth="1"/>
    <col min="11525" max="11525" width="8.42578125" style="2" customWidth="1"/>
    <col min="11526" max="11526" width="9.5703125" style="2" customWidth="1"/>
    <col min="11527" max="11527" width="9.42578125" style="2" customWidth="1"/>
    <col min="11528" max="11528" width="20.85546875" style="2" customWidth="1"/>
    <col min="11529" max="11776" width="9.140625" style="2"/>
    <col min="11777" max="11777" width="6.28515625" style="2" customWidth="1"/>
    <col min="11778" max="11778" width="63.140625" style="2" customWidth="1"/>
    <col min="11779" max="11779" width="15.28515625" style="2" customWidth="1"/>
    <col min="11780" max="11780" width="9.85546875" style="2" customWidth="1"/>
    <col min="11781" max="11781" width="8.42578125" style="2" customWidth="1"/>
    <col min="11782" max="11782" width="9.5703125" style="2" customWidth="1"/>
    <col min="11783" max="11783" width="9.42578125" style="2" customWidth="1"/>
    <col min="11784" max="11784" width="20.85546875" style="2" customWidth="1"/>
    <col min="11785" max="12032" width="9.140625" style="2"/>
    <col min="12033" max="12033" width="6.28515625" style="2" customWidth="1"/>
    <col min="12034" max="12034" width="63.140625" style="2" customWidth="1"/>
    <col min="12035" max="12035" width="15.28515625" style="2" customWidth="1"/>
    <col min="12036" max="12036" width="9.85546875" style="2" customWidth="1"/>
    <col min="12037" max="12037" width="8.42578125" style="2" customWidth="1"/>
    <col min="12038" max="12038" width="9.5703125" style="2" customWidth="1"/>
    <col min="12039" max="12039" width="9.42578125" style="2" customWidth="1"/>
    <col min="12040" max="12040" width="20.85546875" style="2" customWidth="1"/>
    <col min="12041" max="12288" width="9.140625" style="2"/>
    <col min="12289" max="12289" width="6.28515625" style="2" customWidth="1"/>
    <col min="12290" max="12290" width="63.140625" style="2" customWidth="1"/>
    <col min="12291" max="12291" width="15.28515625" style="2" customWidth="1"/>
    <col min="12292" max="12292" width="9.85546875" style="2" customWidth="1"/>
    <col min="12293" max="12293" width="8.42578125" style="2" customWidth="1"/>
    <col min="12294" max="12294" width="9.5703125" style="2" customWidth="1"/>
    <col min="12295" max="12295" width="9.42578125" style="2" customWidth="1"/>
    <col min="12296" max="12296" width="20.85546875" style="2" customWidth="1"/>
    <col min="12297" max="12544" width="9.140625" style="2"/>
    <col min="12545" max="12545" width="6.28515625" style="2" customWidth="1"/>
    <col min="12546" max="12546" width="63.140625" style="2" customWidth="1"/>
    <col min="12547" max="12547" width="15.28515625" style="2" customWidth="1"/>
    <col min="12548" max="12548" width="9.85546875" style="2" customWidth="1"/>
    <col min="12549" max="12549" width="8.42578125" style="2" customWidth="1"/>
    <col min="12550" max="12550" width="9.5703125" style="2" customWidth="1"/>
    <col min="12551" max="12551" width="9.42578125" style="2" customWidth="1"/>
    <col min="12552" max="12552" width="20.85546875" style="2" customWidth="1"/>
    <col min="12553" max="12800" width="9.140625" style="2"/>
    <col min="12801" max="12801" width="6.28515625" style="2" customWidth="1"/>
    <col min="12802" max="12802" width="63.140625" style="2" customWidth="1"/>
    <col min="12803" max="12803" width="15.28515625" style="2" customWidth="1"/>
    <col min="12804" max="12804" width="9.85546875" style="2" customWidth="1"/>
    <col min="12805" max="12805" width="8.42578125" style="2" customWidth="1"/>
    <col min="12806" max="12806" width="9.5703125" style="2" customWidth="1"/>
    <col min="12807" max="12807" width="9.42578125" style="2" customWidth="1"/>
    <col min="12808" max="12808" width="20.85546875" style="2" customWidth="1"/>
    <col min="12809" max="13056" width="9.140625" style="2"/>
    <col min="13057" max="13057" width="6.28515625" style="2" customWidth="1"/>
    <col min="13058" max="13058" width="63.140625" style="2" customWidth="1"/>
    <col min="13059" max="13059" width="15.28515625" style="2" customWidth="1"/>
    <col min="13060" max="13060" width="9.85546875" style="2" customWidth="1"/>
    <col min="13061" max="13061" width="8.42578125" style="2" customWidth="1"/>
    <col min="13062" max="13062" width="9.5703125" style="2" customWidth="1"/>
    <col min="13063" max="13063" width="9.42578125" style="2" customWidth="1"/>
    <col min="13064" max="13064" width="20.85546875" style="2" customWidth="1"/>
    <col min="13065" max="13312" width="9.140625" style="2"/>
    <col min="13313" max="13313" width="6.28515625" style="2" customWidth="1"/>
    <col min="13314" max="13314" width="63.140625" style="2" customWidth="1"/>
    <col min="13315" max="13315" width="15.28515625" style="2" customWidth="1"/>
    <col min="13316" max="13316" width="9.85546875" style="2" customWidth="1"/>
    <col min="13317" max="13317" width="8.42578125" style="2" customWidth="1"/>
    <col min="13318" max="13318" width="9.5703125" style="2" customWidth="1"/>
    <col min="13319" max="13319" width="9.42578125" style="2" customWidth="1"/>
    <col min="13320" max="13320" width="20.85546875" style="2" customWidth="1"/>
    <col min="13321" max="13568" width="9.140625" style="2"/>
    <col min="13569" max="13569" width="6.28515625" style="2" customWidth="1"/>
    <col min="13570" max="13570" width="63.140625" style="2" customWidth="1"/>
    <col min="13571" max="13571" width="15.28515625" style="2" customWidth="1"/>
    <col min="13572" max="13572" width="9.85546875" style="2" customWidth="1"/>
    <col min="13573" max="13573" width="8.42578125" style="2" customWidth="1"/>
    <col min="13574" max="13574" width="9.5703125" style="2" customWidth="1"/>
    <col min="13575" max="13575" width="9.42578125" style="2" customWidth="1"/>
    <col min="13576" max="13576" width="20.85546875" style="2" customWidth="1"/>
    <col min="13577" max="13824" width="9.140625" style="2"/>
    <col min="13825" max="13825" width="6.28515625" style="2" customWidth="1"/>
    <col min="13826" max="13826" width="63.140625" style="2" customWidth="1"/>
    <col min="13827" max="13827" width="15.28515625" style="2" customWidth="1"/>
    <col min="13828" max="13828" width="9.85546875" style="2" customWidth="1"/>
    <col min="13829" max="13829" width="8.42578125" style="2" customWidth="1"/>
    <col min="13830" max="13830" width="9.5703125" style="2" customWidth="1"/>
    <col min="13831" max="13831" width="9.42578125" style="2" customWidth="1"/>
    <col min="13832" max="13832" width="20.85546875" style="2" customWidth="1"/>
    <col min="13833" max="14080" width="9.140625" style="2"/>
    <col min="14081" max="14081" width="6.28515625" style="2" customWidth="1"/>
    <col min="14082" max="14082" width="63.140625" style="2" customWidth="1"/>
    <col min="14083" max="14083" width="15.28515625" style="2" customWidth="1"/>
    <col min="14084" max="14084" width="9.85546875" style="2" customWidth="1"/>
    <col min="14085" max="14085" width="8.42578125" style="2" customWidth="1"/>
    <col min="14086" max="14086" width="9.5703125" style="2" customWidth="1"/>
    <col min="14087" max="14087" width="9.42578125" style="2" customWidth="1"/>
    <col min="14088" max="14088" width="20.85546875" style="2" customWidth="1"/>
    <col min="14089" max="14336" width="9.140625" style="2"/>
    <col min="14337" max="14337" width="6.28515625" style="2" customWidth="1"/>
    <col min="14338" max="14338" width="63.140625" style="2" customWidth="1"/>
    <col min="14339" max="14339" width="15.28515625" style="2" customWidth="1"/>
    <col min="14340" max="14340" width="9.85546875" style="2" customWidth="1"/>
    <col min="14341" max="14341" width="8.42578125" style="2" customWidth="1"/>
    <col min="14342" max="14342" width="9.5703125" style="2" customWidth="1"/>
    <col min="14343" max="14343" width="9.42578125" style="2" customWidth="1"/>
    <col min="14344" max="14344" width="20.85546875" style="2" customWidth="1"/>
    <col min="14345" max="14592" width="9.140625" style="2"/>
    <col min="14593" max="14593" width="6.28515625" style="2" customWidth="1"/>
    <col min="14594" max="14594" width="63.140625" style="2" customWidth="1"/>
    <col min="14595" max="14595" width="15.28515625" style="2" customWidth="1"/>
    <col min="14596" max="14596" width="9.85546875" style="2" customWidth="1"/>
    <col min="14597" max="14597" width="8.42578125" style="2" customWidth="1"/>
    <col min="14598" max="14598" width="9.5703125" style="2" customWidth="1"/>
    <col min="14599" max="14599" width="9.42578125" style="2" customWidth="1"/>
    <col min="14600" max="14600" width="20.85546875" style="2" customWidth="1"/>
    <col min="14601" max="14848" width="9.140625" style="2"/>
    <col min="14849" max="14849" width="6.28515625" style="2" customWidth="1"/>
    <col min="14850" max="14850" width="63.140625" style="2" customWidth="1"/>
    <col min="14851" max="14851" width="15.28515625" style="2" customWidth="1"/>
    <col min="14852" max="14852" width="9.85546875" style="2" customWidth="1"/>
    <col min="14853" max="14853" width="8.42578125" style="2" customWidth="1"/>
    <col min="14854" max="14854" width="9.5703125" style="2" customWidth="1"/>
    <col min="14855" max="14855" width="9.42578125" style="2" customWidth="1"/>
    <col min="14856" max="14856" width="20.85546875" style="2" customWidth="1"/>
    <col min="14857" max="15104" width="9.140625" style="2"/>
    <col min="15105" max="15105" width="6.28515625" style="2" customWidth="1"/>
    <col min="15106" max="15106" width="63.140625" style="2" customWidth="1"/>
    <col min="15107" max="15107" width="15.28515625" style="2" customWidth="1"/>
    <col min="15108" max="15108" width="9.85546875" style="2" customWidth="1"/>
    <col min="15109" max="15109" width="8.42578125" style="2" customWidth="1"/>
    <col min="15110" max="15110" width="9.5703125" style="2" customWidth="1"/>
    <col min="15111" max="15111" width="9.42578125" style="2" customWidth="1"/>
    <col min="15112" max="15112" width="20.85546875" style="2" customWidth="1"/>
    <col min="15113" max="15360" width="9.140625" style="2"/>
    <col min="15361" max="15361" width="6.28515625" style="2" customWidth="1"/>
    <col min="15362" max="15362" width="63.140625" style="2" customWidth="1"/>
    <col min="15363" max="15363" width="15.28515625" style="2" customWidth="1"/>
    <col min="15364" max="15364" width="9.85546875" style="2" customWidth="1"/>
    <col min="15365" max="15365" width="8.42578125" style="2" customWidth="1"/>
    <col min="15366" max="15366" width="9.5703125" style="2" customWidth="1"/>
    <col min="15367" max="15367" width="9.42578125" style="2" customWidth="1"/>
    <col min="15368" max="15368" width="20.85546875" style="2" customWidth="1"/>
    <col min="15369" max="15616" width="9.140625" style="2"/>
    <col min="15617" max="15617" width="6.28515625" style="2" customWidth="1"/>
    <col min="15618" max="15618" width="63.140625" style="2" customWidth="1"/>
    <col min="15619" max="15619" width="15.28515625" style="2" customWidth="1"/>
    <col min="15620" max="15620" width="9.85546875" style="2" customWidth="1"/>
    <col min="15621" max="15621" width="8.42578125" style="2" customWidth="1"/>
    <col min="15622" max="15622" width="9.5703125" style="2" customWidth="1"/>
    <col min="15623" max="15623" width="9.42578125" style="2" customWidth="1"/>
    <col min="15624" max="15624" width="20.85546875" style="2" customWidth="1"/>
    <col min="15625" max="15872" width="9.140625" style="2"/>
    <col min="15873" max="15873" width="6.28515625" style="2" customWidth="1"/>
    <col min="15874" max="15874" width="63.140625" style="2" customWidth="1"/>
    <col min="15875" max="15875" width="15.28515625" style="2" customWidth="1"/>
    <col min="15876" max="15876" width="9.85546875" style="2" customWidth="1"/>
    <col min="15877" max="15877" width="8.42578125" style="2" customWidth="1"/>
    <col min="15878" max="15878" width="9.5703125" style="2" customWidth="1"/>
    <col min="15879" max="15879" width="9.42578125" style="2" customWidth="1"/>
    <col min="15880" max="15880" width="20.85546875" style="2" customWidth="1"/>
    <col min="15881" max="16128" width="9.140625" style="2"/>
    <col min="16129" max="16129" width="6.28515625" style="2" customWidth="1"/>
    <col min="16130" max="16130" width="63.140625" style="2" customWidth="1"/>
    <col min="16131" max="16131" width="15.28515625" style="2" customWidth="1"/>
    <col min="16132" max="16132" width="9.85546875" style="2" customWidth="1"/>
    <col min="16133" max="16133" width="8.42578125" style="2" customWidth="1"/>
    <col min="16134" max="16134" width="9.5703125" style="2" customWidth="1"/>
    <col min="16135" max="16135" width="9.42578125" style="2" customWidth="1"/>
    <col min="16136" max="16136" width="20.85546875" style="2" customWidth="1"/>
    <col min="16137" max="16384" width="9.140625" style="2"/>
  </cols>
  <sheetData>
    <row r="1" spans="1:8" ht="48" customHeight="1" x14ac:dyDescent="0.25">
      <c r="A1" s="27" t="s">
        <v>133</v>
      </c>
      <c r="B1" s="27"/>
      <c r="C1" s="27"/>
      <c r="D1" s="27"/>
      <c r="E1" s="27"/>
      <c r="F1" s="27"/>
      <c r="G1" s="1" t="s">
        <v>0</v>
      </c>
      <c r="H1" s="1"/>
    </row>
    <row r="3" spans="1:8" ht="63.75" x14ac:dyDescent="0.25">
      <c r="A3" s="3" t="s">
        <v>1</v>
      </c>
      <c r="B3" s="3" t="s">
        <v>2</v>
      </c>
      <c r="C3" s="3" t="s">
        <v>3</v>
      </c>
      <c r="D3" s="3" t="s">
        <v>4</v>
      </c>
      <c r="E3" s="4" t="s">
        <v>5</v>
      </c>
      <c r="F3" s="5" t="s">
        <v>6</v>
      </c>
      <c r="G3" s="5" t="s">
        <v>7</v>
      </c>
      <c r="H3" s="5" t="s">
        <v>8</v>
      </c>
    </row>
    <row r="4" spans="1:8" x14ac:dyDescent="0.25">
      <c r="A4" s="3"/>
      <c r="B4" s="6" t="s">
        <v>9</v>
      </c>
      <c r="C4" s="3"/>
      <c r="D4" s="3"/>
      <c r="E4" s="4"/>
      <c r="F4" s="4"/>
      <c r="G4" s="4"/>
      <c r="H4" s="4"/>
    </row>
    <row r="5" spans="1:8" ht="38.25" x14ac:dyDescent="0.25">
      <c r="A5" s="7" t="s">
        <v>10</v>
      </c>
      <c r="B5" s="8" t="s">
        <v>114</v>
      </c>
      <c r="C5" s="3" t="s">
        <v>22</v>
      </c>
      <c r="D5" s="3" t="s">
        <v>11</v>
      </c>
      <c r="E5" s="9">
        <v>21</v>
      </c>
      <c r="F5" s="36">
        <f>0.075072+0.075072*21/100</f>
        <v>9.0837119999999993E-2</v>
      </c>
      <c r="G5" s="9">
        <f>F5*3000</f>
        <v>272.51135999999997</v>
      </c>
      <c r="H5" s="37" t="s">
        <v>172</v>
      </c>
    </row>
    <row r="6" spans="1:8" ht="24.75" customHeight="1" x14ac:dyDescent="0.25">
      <c r="A6" s="7" t="s">
        <v>15</v>
      </c>
      <c r="B6" s="8" t="s">
        <v>16</v>
      </c>
      <c r="C6" s="3" t="s">
        <v>17</v>
      </c>
      <c r="D6" s="3" t="s">
        <v>11</v>
      </c>
      <c r="E6" s="9">
        <v>21</v>
      </c>
      <c r="F6" s="9">
        <f>0.03703+0.03703*21/100</f>
        <v>4.48063E-2</v>
      </c>
      <c r="G6" s="9">
        <f>F6*14000</f>
        <v>627.28819999999996</v>
      </c>
      <c r="H6" s="37" t="s">
        <v>173</v>
      </c>
    </row>
    <row r="7" spans="1:8" ht="26.25" customHeight="1" x14ac:dyDescent="0.25">
      <c r="A7" s="7" t="s">
        <v>18</v>
      </c>
      <c r="B7" s="8" t="s">
        <v>19</v>
      </c>
      <c r="C7" s="3" t="s">
        <v>124</v>
      </c>
      <c r="D7" s="3" t="s">
        <v>11</v>
      </c>
      <c r="E7" s="9">
        <v>21</v>
      </c>
      <c r="F7" s="36">
        <f>0.011178+0.011178*21/100</f>
        <v>1.352538E-2</v>
      </c>
      <c r="G7" s="9">
        <f>F7*48000</f>
        <v>649.21824000000004</v>
      </c>
      <c r="H7" s="37" t="s">
        <v>174</v>
      </c>
    </row>
    <row r="8" spans="1:8" x14ac:dyDescent="0.25">
      <c r="A8" s="7" t="s">
        <v>23</v>
      </c>
      <c r="B8" s="8" t="s">
        <v>24</v>
      </c>
      <c r="C8" s="3"/>
      <c r="D8" s="3"/>
      <c r="E8" s="9"/>
      <c r="F8" s="9"/>
      <c r="G8" s="9"/>
      <c r="H8" s="9"/>
    </row>
    <row r="9" spans="1:8" ht="27" customHeight="1" x14ac:dyDescent="0.25">
      <c r="A9" s="7" t="s">
        <v>25</v>
      </c>
      <c r="B9" s="8" t="s">
        <v>26</v>
      </c>
      <c r="C9" s="3" t="s">
        <v>128</v>
      </c>
      <c r="D9" s="3" t="s">
        <v>11</v>
      </c>
      <c r="E9" s="9">
        <v>21</v>
      </c>
      <c r="F9" s="9">
        <f>0.0069+0.0069*21/100</f>
        <v>8.3490000000000005E-3</v>
      </c>
      <c r="G9" s="9">
        <f>F9*14000</f>
        <v>116.88600000000001</v>
      </c>
      <c r="H9" s="37" t="s">
        <v>175</v>
      </c>
    </row>
    <row r="10" spans="1:8" ht="26.25" customHeight="1" x14ac:dyDescent="0.25">
      <c r="A10" s="7" t="s">
        <v>27</v>
      </c>
      <c r="B10" s="8" t="s">
        <v>28</v>
      </c>
      <c r="C10" s="3" t="s">
        <v>29</v>
      </c>
      <c r="D10" s="3" t="s">
        <v>11</v>
      </c>
      <c r="E10" s="9">
        <v>21</v>
      </c>
      <c r="F10" s="9">
        <f>0.01932+0.01932*21/100</f>
        <v>2.3377200000000001E-2</v>
      </c>
      <c r="G10" s="28">
        <f>F10*70000</f>
        <v>1636.404</v>
      </c>
      <c r="H10" s="37" t="s">
        <v>176</v>
      </c>
    </row>
    <row r="11" spans="1:8" x14ac:dyDescent="0.25">
      <c r="A11" s="7"/>
      <c r="B11" s="10" t="s">
        <v>30</v>
      </c>
      <c r="C11" s="3"/>
      <c r="D11" s="3"/>
      <c r="E11" s="9"/>
      <c r="F11" s="9"/>
      <c r="G11" s="28">
        <f>SUM(G9:G10)</f>
        <v>1753.29</v>
      </c>
      <c r="H11" s="9"/>
    </row>
    <row r="12" spans="1:8" ht="25.5" x14ac:dyDescent="0.25">
      <c r="A12" s="7" t="s">
        <v>34</v>
      </c>
      <c r="B12" s="8" t="s">
        <v>32</v>
      </c>
      <c r="C12" s="3" t="s">
        <v>125</v>
      </c>
      <c r="D12" s="3" t="s">
        <v>11</v>
      </c>
      <c r="E12" s="9">
        <v>21</v>
      </c>
      <c r="F12" s="9">
        <f>0.02232+0.02232*21/100</f>
        <v>2.7007199999999999E-2</v>
      </c>
      <c r="G12" s="28">
        <f>F12*100000</f>
        <v>2700.72</v>
      </c>
      <c r="H12" s="37" t="s">
        <v>177</v>
      </c>
    </row>
    <row r="13" spans="1:8" ht="15" x14ac:dyDescent="0.25">
      <c r="A13" s="7" t="s">
        <v>36</v>
      </c>
      <c r="B13" s="8" t="s">
        <v>35</v>
      </c>
      <c r="C13" s="3" t="s">
        <v>126</v>
      </c>
      <c r="D13" s="3" t="s">
        <v>11</v>
      </c>
      <c r="E13" s="9">
        <v>21</v>
      </c>
      <c r="F13" s="28">
        <f>11.73+11.73*21/100</f>
        <v>14.193300000000001</v>
      </c>
      <c r="G13" s="9">
        <f>F13*20</f>
        <v>283.86599999999999</v>
      </c>
      <c r="H13" s="33" t="s">
        <v>178</v>
      </c>
    </row>
    <row r="14" spans="1:8" ht="15" x14ac:dyDescent="0.25">
      <c r="A14" s="7" t="s">
        <v>37</v>
      </c>
      <c r="B14" s="8" t="s">
        <v>115</v>
      </c>
      <c r="C14" s="3" t="s">
        <v>13</v>
      </c>
      <c r="D14" s="3" t="s">
        <v>11</v>
      </c>
      <c r="E14" s="9">
        <v>21</v>
      </c>
      <c r="F14" s="9">
        <f>0.40008+0.40008*21/100</f>
        <v>0.48409679999999999</v>
      </c>
      <c r="G14" s="9">
        <f>F14*100</f>
        <v>48.409680000000002</v>
      </c>
      <c r="H14" s="33" t="s">
        <v>179</v>
      </c>
    </row>
    <row r="15" spans="1:8" x14ac:dyDescent="0.25">
      <c r="A15" s="7" t="s">
        <v>39</v>
      </c>
      <c r="B15" s="8" t="s">
        <v>116</v>
      </c>
      <c r="C15" s="3"/>
      <c r="D15" s="3"/>
      <c r="E15" s="9"/>
      <c r="F15" s="9"/>
      <c r="G15" s="9"/>
      <c r="H15" s="9"/>
    </row>
    <row r="16" spans="1:8" ht="15" x14ac:dyDescent="0.25">
      <c r="A16" s="7" t="s">
        <v>40</v>
      </c>
      <c r="B16" s="8" t="s">
        <v>123</v>
      </c>
      <c r="C16" s="3" t="s">
        <v>14</v>
      </c>
      <c r="D16" s="3" t="s">
        <v>11</v>
      </c>
      <c r="E16" s="9">
        <v>21</v>
      </c>
      <c r="F16" s="36">
        <f>0.0464715+0.0464715*21/100</f>
        <v>5.6230514999999995E-2</v>
      </c>
      <c r="G16" s="28">
        <f>F16*500</f>
        <v>28.115257499999998</v>
      </c>
      <c r="H16" s="33" t="s">
        <v>180</v>
      </c>
    </row>
    <row r="17" spans="1:8" ht="26.25" customHeight="1" x14ac:dyDescent="0.25">
      <c r="A17" s="7" t="s">
        <v>42</v>
      </c>
      <c r="B17" s="8" t="s">
        <v>118</v>
      </c>
      <c r="C17" s="3" t="s">
        <v>127</v>
      </c>
      <c r="D17" s="3" t="s">
        <v>11</v>
      </c>
      <c r="E17" s="9">
        <v>21</v>
      </c>
      <c r="F17" s="37">
        <f>0.017526+0.017526*21/100</f>
        <v>2.120646E-2</v>
      </c>
      <c r="G17" s="28">
        <f>F17*50000</f>
        <v>1060.3230000000001</v>
      </c>
      <c r="H17" s="37" t="s">
        <v>181</v>
      </c>
    </row>
    <row r="18" spans="1:8" ht="15" x14ac:dyDescent="0.25">
      <c r="A18" s="7" t="s">
        <v>117</v>
      </c>
      <c r="B18" s="8" t="s">
        <v>129</v>
      </c>
      <c r="C18" s="3" t="s">
        <v>38</v>
      </c>
      <c r="D18" s="3" t="s">
        <v>11</v>
      </c>
      <c r="E18" s="9">
        <v>21</v>
      </c>
      <c r="F18" s="9">
        <f>0.098256+0.098256*21/100</f>
        <v>0.11888976</v>
      </c>
      <c r="G18" s="9">
        <f>F18*2500</f>
        <v>297.2244</v>
      </c>
      <c r="H18" s="33" t="s">
        <v>182</v>
      </c>
    </row>
    <row r="19" spans="1:8" x14ac:dyDescent="0.25">
      <c r="A19" s="7"/>
      <c r="B19" s="10" t="s">
        <v>44</v>
      </c>
      <c r="C19" s="3"/>
      <c r="D19" s="3"/>
      <c r="E19" s="9"/>
      <c r="F19" s="9"/>
      <c r="G19" s="28">
        <f>SUM(G16:G18)</f>
        <v>1385.6626575000003</v>
      </c>
      <c r="H19" s="9"/>
    </row>
    <row r="20" spans="1:8" ht="25.5" x14ac:dyDescent="0.25">
      <c r="A20" s="7" t="s">
        <v>45</v>
      </c>
      <c r="B20" s="11" t="s">
        <v>119</v>
      </c>
      <c r="C20" s="3"/>
      <c r="D20" s="3"/>
      <c r="E20" s="9"/>
      <c r="F20" s="9"/>
      <c r="G20" s="9"/>
      <c r="H20" s="9"/>
    </row>
    <row r="21" spans="1:8" ht="15" x14ac:dyDescent="0.25">
      <c r="A21" s="7" t="s">
        <v>120</v>
      </c>
      <c r="B21" s="11" t="s">
        <v>41</v>
      </c>
      <c r="C21" s="3" t="s">
        <v>31</v>
      </c>
      <c r="D21" s="3" t="s">
        <v>11</v>
      </c>
      <c r="E21" s="9">
        <v>21</v>
      </c>
      <c r="F21" s="38">
        <f>2.212+2.212*21/100</f>
        <v>2.67652</v>
      </c>
      <c r="G21" s="9">
        <f>F21*10</f>
        <v>26.7652</v>
      </c>
      <c r="H21" s="33" t="s">
        <v>183</v>
      </c>
    </row>
    <row r="22" spans="1:8" ht="15" x14ac:dyDescent="0.25">
      <c r="A22" s="7" t="s">
        <v>121</v>
      </c>
      <c r="B22" s="11" t="s">
        <v>43</v>
      </c>
      <c r="C22" s="3" t="s">
        <v>31</v>
      </c>
      <c r="D22" s="3" t="s">
        <v>11</v>
      </c>
      <c r="E22" s="9">
        <v>21</v>
      </c>
      <c r="F22" s="29">
        <f>1.95+1.95*21/100</f>
        <v>2.3594999999999997</v>
      </c>
      <c r="G22" s="9">
        <f>F22*10</f>
        <v>23.594999999999999</v>
      </c>
      <c r="H22" s="33" t="s">
        <v>184</v>
      </c>
    </row>
    <row r="23" spans="1:8" x14ac:dyDescent="0.25">
      <c r="A23" s="7"/>
      <c r="B23" s="10" t="s">
        <v>122</v>
      </c>
      <c r="C23" s="3"/>
      <c r="D23" s="3"/>
      <c r="E23" s="9"/>
      <c r="F23" s="9"/>
      <c r="G23" s="9">
        <f>SUM(G21:G22)</f>
        <v>50.360199999999999</v>
      </c>
      <c r="H23" s="9"/>
    </row>
    <row r="24" spans="1:8" ht="15" x14ac:dyDescent="0.25">
      <c r="A24" s="7" t="s">
        <v>46</v>
      </c>
      <c r="B24" s="8" t="s">
        <v>139</v>
      </c>
      <c r="C24" s="3" t="s">
        <v>21</v>
      </c>
      <c r="D24" s="3" t="s">
        <v>11</v>
      </c>
      <c r="E24" s="9">
        <v>21</v>
      </c>
      <c r="F24" s="9">
        <f>0.19236+0.19236*21/100</f>
        <v>0.23275560000000001</v>
      </c>
      <c r="G24" s="9">
        <f>F24*600</f>
        <v>139.65335999999999</v>
      </c>
      <c r="H24" s="33" t="s">
        <v>185</v>
      </c>
    </row>
    <row r="25" spans="1:8" ht="24.75" customHeight="1" x14ac:dyDescent="0.25">
      <c r="A25" s="7" t="s">
        <v>47</v>
      </c>
      <c r="B25" s="8" t="s">
        <v>140</v>
      </c>
      <c r="C25" s="3" t="s">
        <v>127</v>
      </c>
      <c r="D25" s="3" t="s">
        <v>11</v>
      </c>
      <c r="E25" s="9">
        <v>21</v>
      </c>
      <c r="F25" s="9">
        <f>0.077+0.077*21/100</f>
        <v>9.3170000000000003E-2</v>
      </c>
      <c r="G25" s="28">
        <f>F25*50000</f>
        <v>4658.5</v>
      </c>
      <c r="H25" s="37" t="s">
        <v>186</v>
      </c>
    </row>
    <row r="26" spans="1:8" ht="25.5" x14ac:dyDescent="0.25">
      <c r="A26" s="7" t="s">
        <v>48</v>
      </c>
      <c r="B26" s="8" t="s">
        <v>141</v>
      </c>
      <c r="C26" s="3" t="s">
        <v>66</v>
      </c>
      <c r="D26" s="3" t="s">
        <v>11</v>
      </c>
      <c r="E26" s="9">
        <v>21</v>
      </c>
      <c r="F26" s="9">
        <f>0.084+0.084*21/100</f>
        <v>0.10164000000000001</v>
      </c>
      <c r="G26" s="9">
        <f>F26*4000</f>
        <v>406.56000000000006</v>
      </c>
      <c r="H26" s="33" t="s">
        <v>187</v>
      </c>
    </row>
    <row r="27" spans="1:8" ht="15" x14ac:dyDescent="0.25">
      <c r="A27" s="7" t="s">
        <v>50</v>
      </c>
      <c r="B27" s="8" t="s">
        <v>49</v>
      </c>
      <c r="C27" s="3" t="s">
        <v>13</v>
      </c>
      <c r="D27" s="3" t="s">
        <v>11</v>
      </c>
      <c r="E27" s="9">
        <v>21</v>
      </c>
      <c r="F27" s="29">
        <f>1.104+1.104*21/100</f>
        <v>1.3358400000000001</v>
      </c>
      <c r="G27" s="9">
        <f>F27*100</f>
        <v>133.584</v>
      </c>
      <c r="H27" s="33" t="s">
        <v>188</v>
      </c>
    </row>
    <row r="28" spans="1:8" ht="25.5" x14ac:dyDescent="0.25">
      <c r="A28" s="7" t="s">
        <v>52</v>
      </c>
      <c r="B28" s="8" t="s">
        <v>144</v>
      </c>
      <c r="C28" s="3" t="s">
        <v>20</v>
      </c>
      <c r="D28" s="12" t="s">
        <v>11</v>
      </c>
      <c r="E28" s="9">
        <v>21</v>
      </c>
      <c r="F28" s="9">
        <f>0.021804+0.021804*21/100</f>
        <v>2.6382840000000001E-2</v>
      </c>
      <c r="G28" s="9">
        <f>F28*24000</f>
        <v>633.18816000000004</v>
      </c>
      <c r="H28" s="37" t="s">
        <v>189</v>
      </c>
    </row>
    <row r="29" spans="1:8" ht="27" customHeight="1" x14ac:dyDescent="0.25">
      <c r="A29" s="7" t="s">
        <v>53</v>
      </c>
      <c r="B29" s="8" t="s">
        <v>145</v>
      </c>
      <c r="C29" s="3" t="s">
        <v>12</v>
      </c>
      <c r="D29" s="12" t="s">
        <v>11</v>
      </c>
      <c r="E29" s="9">
        <v>21</v>
      </c>
      <c r="F29" s="9">
        <f>0.021804+0.021804*21/100</f>
        <v>2.6382840000000001E-2</v>
      </c>
      <c r="G29" s="9">
        <f>F29*12000</f>
        <v>316.59408000000002</v>
      </c>
      <c r="H29" s="37" t="s">
        <v>190</v>
      </c>
    </row>
    <row r="30" spans="1:8" ht="23.25" customHeight="1" x14ac:dyDescent="0.25">
      <c r="A30" s="7" t="s">
        <v>54</v>
      </c>
      <c r="B30" s="8" t="s">
        <v>55</v>
      </c>
      <c r="C30" s="3" t="s">
        <v>12</v>
      </c>
      <c r="D30" s="3" t="s">
        <v>11</v>
      </c>
      <c r="E30" s="9">
        <v>21</v>
      </c>
      <c r="F30" s="9">
        <f>0.0434562+0.0434562*21/100</f>
        <v>5.2582002000000003E-2</v>
      </c>
      <c r="G30" s="9">
        <f>F30*12000</f>
        <v>630.98402399999998</v>
      </c>
      <c r="H30" s="37" t="s">
        <v>191</v>
      </c>
    </row>
    <row r="31" spans="1:8" ht="15" x14ac:dyDescent="0.25">
      <c r="A31" s="7" t="s">
        <v>62</v>
      </c>
      <c r="B31" s="9" t="s">
        <v>60</v>
      </c>
      <c r="C31" s="12" t="s">
        <v>61</v>
      </c>
      <c r="D31" s="12" t="s">
        <v>11</v>
      </c>
      <c r="E31" s="13">
        <v>21</v>
      </c>
      <c r="F31" s="30">
        <f>2.786+2.786*21/100</f>
        <v>3.3710599999999999</v>
      </c>
      <c r="G31" s="13">
        <f>F31*100</f>
        <v>337.10599999999999</v>
      </c>
      <c r="H31" s="33" t="s">
        <v>192</v>
      </c>
    </row>
    <row r="32" spans="1:8" ht="15" x14ac:dyDescent="0.25">
      <c r="A32" s="7" t="s">
        <v>64</v>
      </c>
      <c r="B32" s="9" t="s">
        <v>63</v>
      </c>
      <c r="C32" s="12" t="s">
        <v>61</v>
      </c>
      <c r="D32" s="12" t="s">
        <v>11</v>
      </c>
      <c r="E32" s="13">
        <v>21</v>
      </c>
      <c r="F32" s="30">
        <f>2.24+2.24*21/100</f>
        <v>2.7104000000000004</v>
      </c>
      <c r="G32" s="13">
        <f>F32*100</f>
        <v>271.04000000000002</v>
      </c>
      <c r="H32" s="33" t="s">
        <v>194</v>
      </c>
    </row>
    <row r="33" spans="1:8" ht="15" x14ac:dyDescent="0.25">
      <c r="A33" s="7" t="s">
        <v>65</v>
      </c>
      <c r="B33" s="9" t="s">
        <v>130</v>
      </c>
      <c r="C33" s="12" t="s">
        <v>67</v>
      </c>
      <c r="D33" s="12" t="s">
        <v>11</v>
      </c>
      <c r="E33" s="13">
        <v>21</v>
      </c>
      <c r="F33" s="30">
        <f>12.754+12.754*21/100</f>
        <v>15.43234</v>
      </c>
      <c r="G33" s="30">
        <f>F33*3</f>
        <v>46.297020000000003</v>
      </c>
      <c r="H33" s="33" t="s">
        <v>193</v>
      </c>
    </row>
    <row r="34" spans="1:8" x14ac:dyDescent="0.25">
      <c r="A34" s="31" t="s">
        <v>132</v>
      </c>
      <c r="B34" s="9" t="s">
        <v>142</v>
      </c>
      <c r="C34" s="12" t="s">
        <v>131</v>
      </c>
      <c r="D34" s="12" t="s">
        <v>74</v>
      </c>
      <c r="E34" s="13"/>
      <c r="F34" s="13"/>
      <c r="G34" s="13"/>
      <c r="H34" s="13"/>
    </row>
    <row r="35" spans="1:8" ht="38.25" x14ac:dyDescent="0.25">
      <c r="A35" s="31" t="s">
        <v>147</v>
      </c>
      <c r="B35" s="9" t="s">
        <v>143</v>
      </c>
      <c r="C35" s="12" t="s">
        <v>134</v>
      </c>
      <c r="D35" s="12" t="s">
        <v>11</v>
      </c>
      <c r="E35" s="13"/>
      <c r="F35" s="13"/>
      <c r="G35" s="13"/>
      <c r="H35" s="13"/>
    </row>
    <row r="36" spans="1:8" ht="14.25" customHeight="1" x14ac:dyDescent="0.25">
      <c r="A36" s="7" t="s">
        <v>71</v>
      </c>
      <c r="B36" s="14" t="s">
        <v>70</v>
      </c>
      <c r="C36" s="12" t="s">
        <v>59</v>
      </c>
      <c r="D36" s="12" t="s">
        <v>11</v>
      </c>
      <c r="E36" s="13">
        <v>21</v>
      </c>
      <c r="F36" s="13">
        <f>21+21/100</f>
        <v>21.21</v>
      </c>
      <c r="G36" s="13">
        <f>F36*4</f>
        <v>84.84</v>
      </c>
      <c r="H36" s="33" t="s">
        <v>195</v>
      </c>
    </row>
    <row r="37" spans="1:8" ht="38.25" x14ac:dyDescent="0.25">
      <c r="A37" s="7" t="s">
        <v>76</v>
      </c>
      <c r="B37" s="8" t="s">
        <v>72</v>
      </c>
      <c r="C37" s="3" t="s">
        <v>73</v>
      </c>
      <c r="D37" s="3" t="s">
        <v>74</v>
      </c>
      <c r="E37" s="9">
        <v>21</v>
      </c>
      <c r="F37" s="9">
        <f>0.2083333333+0.2083333333*21/100</f>
        <v>0.25208333329300003</v>
      </c>
      <c r="G37" s="28">
        <f>F37*9000</f>
        <v>2268.7499996370002</v>
      </c>
      <c r="H37" s="35" t="s">
        <v>196</v>
      </c>
    </row>
    <row r="38" spans="1:8" ht="26.25" customHeight="1" x14ac:dyDescent="0.25">
      <c r="A38" s="7" t="s">
        <v>83</v>
      </c>
      <c r="B38" s="8" t="s">
        <v>75</v>
      </c>
      <c r="C38" s="3" t="s">
        <v>33</v>
      </c>
      <c r="D38" s="3" t="s">
        <v>11</v>
      </c>
      <c r="E38" s="9">
        <v>21</v>
      </c>
      <c r="F38" s="9">
        <f>0.04+0.04*21/100</f>
        <v>4.8399999999999999E-2</v>
      </c>
      <c r="G38" s="28">
        <f>F38*60000</f>
        <v>2904</v>
      </c>
      <c r="H38" s="37" t="s">
        <v>197</v>
      </c>
    </row>
    <row r="39" spans="1:8" ht="27.75" customHeight="1" x14ac:dyDescent="0.25">
      <c r="A39" s="7" t="s">
        <v>85</v>
      </c>
      <c r="B39" s="8" t="s">
        <v>77</v>
      </c>
      <c r="C39" s="3" t="s">
        <v>57</v>
      </c>
      <c r="D39" s="3" t="s">
        <v>11</v>
      </c>
      <c r="E39" s="9">
        <v>21</v>
      </c>
      <c r="F39" s="9">
        <f>0.01+0.01*21/100</f>
        <v>1.21E-2</v>
      </c>
      <c r="G39" s="28">
        <f>F39*10000</f>
        <v>121</v>
      </c>
      <c r="H39" s="37" t="s">
        <v>198</v>
      </c>
    </row>
    <row r="40" spans="1:8" ht="38.25" x14ac:dyDescent="0.25">
      <c r="A40" s="7" t="s">
        <v>87</v>
      </c>
      <c r="B40" s="8" t="s">
        <v>148</v>
      </c>
      <c r="C40" s="3"/>
      <c r="D40" s="3"/>
      <c r="E40" s="9"/>
      <c r="F40" s="9"/>
      <c r="G40" s="9"/>
      <c r="H40" s="9"/>
    </row>
    <row r="41" spans="1:8" ht="25.5" x14ac:dyDescent="0.25">
      <c r="A41" s="7" t="s">
        <v>149</v>
      </c>
      <c r="B41" s="15" t="s">
        <v>78</v>
      </c>
      <c r="C41" s="16" t="s">
        <v>79</v>
      </c>
      <c r="D41" s="3" t="s">
        <v>11</v>
      </c>
      <c r="E41" s="9">
        <v>21</v>
      </c>
      <c r="F41" s="9">
        <f>0.02288+0.02288*21/100</f>
        <v>2.7684800000000002E-2</v>
      </c>
      <c r="G41" s="28">
        <f>F41*500</f>
        <v>13.842400000000001</v>
      </c>
      <c r="H41" s="39" t="s">
        <v>199</v>
      </c>
    </row>
    <row r="42" spans="1:8" ht="25.5" x14ac:dyDescent="0.25">
      <c r="A42" s="7" t="s">
        <v>150</v>
      </c>
      <c r="B42" s="15" t="s">
        <v>80</v>
      </c>
      <c r="C42" s="16" t="s">
        <v>81</v>
      </c>
      <c r="D42" s="3" t="s">
        <v>11</v>
      </c>
      <c r="E42" s="9">
        <v>21</v>
      </c>
      <c r="F42" s="9">
        <f>0.02234375+0.02234375*21/100</f>
        <v>2.7035937499999999E-2</v>
      </c>
      <c r="G42" s="9">
        <f>F42*2500</f>
        <v>67.58984375</v>
      </c>
      <c r="H42" s="39" t="s">
        <v>200</v>
      </c>
    </row>
    <row r="43" spans="1:8" ht="25.5" x14ac:dyDescent="0.25">
      <c r="A43" s="7" t="s">
        <v>151</v>
      </c>
      <c r="B43" s="15" t="s">
        <v>82</v>
      </c>
      <c r="C43" s="16" t="s">
        <v>58</v>
      </c>
      <c r="D43" s="3" t="s">
        <v>11</v>
      </c>
      <c r="E43" s="9">
        <v>21</v>
      </c>
      <c r="F43" s="9">
        <f>0.02383333333+0.02383333333*21/100</f>
        <v>2.8838333329300001E-2</v>
      </c>
      <c r="G43" s="28">
        <f>F43*1000</f>
        <v>28.838333329300003</v>
      </c>
      <c r="H43" s="39" t="s">
        <v>201</v>
      </c>
    </row>
    <row r="44" spans="1:8" x14ac:dyDescent="0.25">
      <c r="A44" s="7"/>
      <c r="B44" s="10" t="s">
        <v>152</v>
      </c>
      <c r="C44" s="16"/>
      <c r="D44" s="16"/>
      <c r="E44" s="9"/>
      <c r="F44" s="9"/>
      <c r="G44" s="28">
        <f>SUM(G41:G43)</f>
        <v>110.2705770793</v>
      </c>
      <c r="H44" s="9"/>
    </row>
    <row r="45" spans="1:8" ht="25.5" x14ac:dyDescent="0.2">
      <c r="A45" s="7" t="s">
        <v>90</v>
      </c>
      <c r="B45" s="8" t="s">
        <v>84</v>
      </c>
      <c r="C45" s="3" t="s">
        <v>68</v>
      </c>
      <c r="D45" s="3" t="s">
        <v>11</v>
      </c>
      <c r="E45" s="9">
        <v>21</v>
      </c>
      <c r="F45" s="9">
        <f>42+42*21/100</f>
        <v>50.82</v>
      </c>
      <c r="G45" s="9">
        <f>F45*5</f>
        <v>254.1</v>
      </c>
      <c r="H45" s="34" t="s">
        <v>202</v>
      </c>
    </row>
    <row r="46" spans="1:8" ht="25.5" x14ac:dyDescent="0.2">
      <c r="A46" s="7" t="s">
        <v>91</v>
      </c>
      <c r="B46" s="8" t="s">
        <v>86</v>
      </c>
      <c r="C46" s="3" t="s">
        <v>51</v>
      </c>
      <c r="D46" s="3" t="s">
        <v>11</v>
      </c>
      <c r="E46" s="9">
        <v>21</v>
      </c>
      <c r="F46" s="40">
        <f>24+24*21/100</f>
        <v>29.04</v>
      </c>
      <c r="G46" s="28">
        <f>F46*8</f>
        <v>232.32</v>
      </c>
      <c r="H46" s="26" t="s">
        <v>220</v>
      </c>
    </row>
    <row r="47" spans="1:8" ht="38.25" x14ac:dyDescent="0.2">
      <c r="A47" s="7" t="s">
        <v>93</v>
      </c>
      <c r="B47" s="8" t="s">
        <v>88</v>
      </c>
      <c r="C47" s="3" t="s">
        <v>89</v>
      </c>
      <c r="D47" s="3" t="s">
        <v>11</v>
      </c>
      <c r="E47" s="9">
        <v>21</v>
      </c>
      <c r="F47" s="28">
        <f>0.925+0.925*21/100</f>
        <v>1.1192500000000001</v>
      </c>
      <c r="G47" s="28">
        <f>F47*1250</f>
        <v>1399.0625</v>
      </c>
      <c r="H47" s="26" t="s">
        <v>203</v>
      </c>
    </row>
    <row r="48" spans="1:8" ht="38.25" x14ac:dyDescent="0.2">
      <c r="A48" s="7" t="s">
        <v>96</v>
      </c>
      <c r="B48" s="8" t="s">
        <v>146</v>
      </c>
      <c r="C48" s="3" t="s">
        <v>89</v>
      </c>
      <c r="D48" s="3" t="s">
        <v>11</v>
      </c>
      <c r="E48" s="9">
        <v>21</v>
      </c>
      <c r="F48" s="40">
        <f>0.925+0.925*21/100</f>
        <v>1.1192500000000001</v>
      </c>
      <c r="G48" s="28">
        <f>F48*1250</f>
        <v>1399.0625</v>
      </c>
      <c r="H48" s="26" t="s">
        <v>204</v>
      </c>
    </row>
    <row r="49" spans="1:8" ht="38.25" x14ac:dyDescent="0.2">
      <c r="A49" s="7" t="s">
        <v>99</v>
      </c>
      <c r="B49" s="8" t="s">
        <v>92</v>
      </c>
      <c r="C49" s="3" t="s">
        <v>61</v>
      </c>
      <c r="D49" s="3" t="s">
        <v>11</v>
      </c>
      <c r="E49" s="9">
        <v>21</v>
      </c>
      <c r="F49" s="28">
        <f>0.925+0.925*21/100</f>
        <v>1.1192500000000001</v>
      </c>
      <c r="G49" s="9">
        <f>F49*100</f>
        <v>111.92500000000001</v>
      </c>
      <c r="H49" s="26" t="s">
        <v>205</v>
      </c>
    </row>
    <row r="50" spans="1:8" ht="25.5" x14ac:dyDescent="0.2">
      <c r="A50" s="7" t="s">
        <v>100</v>
      </c>
      <c r="B50" s="8" t="s">
        <v>94</v>
      </c>
      <c r="C50" s="3" t="s">
        <v>95</v>
      </c>
      <c r="D50" s="3" t="s">
        <v>11</v>
      </c>
      <c r="E50" s="9">
        <v>21</v>
      </c>
      <c r="F50" s="9">
        <f>11.76+11.76*21/100</f>
        <v>14.2296</v>
      </c>
      <c r="G50" s="9">
        <f>F50*60</f>
        <v>853.77599999999995</v>
      </c>
      <c r="H50" s="34" t="s">
        <v>206</v>
      </c>
    </row>
    <row r="51" spans="1:8" x14ac:dyDescent="0.2">
      <c r="A51" s="7" t="s">
        <v>101</v>
      </c>
      <c r="B51" s="8" t="s">
        <v>97</v>
      </c>
      <c r="C51" s="3" t="s">
        <v>98</v>
      </c>
      <c r="D51" s="3" t="s">
        <v>11</v>
      </c>
      <c r="E51" s="9">
        <v>21</v>
      </c>
      <c r="F51" s="28">
        <f>6.591666667+6.591666667*21/100</f>
        <v>7.9759166670699999</v>
      </c>
      <c r="G51" s="28">
        <f>F51*12</f>
        <v>95.711000004840002</v>
      </c>
      <c r="H51" s="34" t="s">
        <v>207</v>
      </c>
    </row>
    <row r="52" spans="1:8" ht="25.5" x14ac:dyDescent="0.25">
      <c r="A52" s="7" t="s">
        <v>102</v>
      </c>
      <c r="B52" s="17" t="s">
        <v>153</v>
      </c>
      <c r="C52" s="18"/>
      <c r="D52" s="18"/>
      <c r="E52" s="9"/>
      <c r="F52" s="9"/>
      <c r="G52" s="9"/>
      <c r="H52" s="9"/>
    </row>
    <row r="53" spans="1:8" x14ac:dyDescent="0.2">
      <c r="A53" s="7" t="s">
        <v>154</v>
      </c>
      <c r="B53" s="17" t="s">
        <v>135</v>
      </c>
      <c r="C53" s="18" t="s">
        <v>56</v>
      </c>
      <c r="D53" s="18" t="s">
        <v>11</v>
      </c>
      <c r="E53" s="9">
        <v>21</v>
      </c>
      <c r="F53" s="28">
        <f>1.47+1.47*21/100</f>
        <v>1.7786999999999999</v>
      </c>
      <c r="G53" s="28">
        <f>F53*50</f>
        <v>88.935000000000002</v>
      </c>
      <c r="H53" s="34" t="s">
        <v>208</v>
      </c>
    </row>
    <row r="54" spans="1:8" x14ac:dyDescent="0.2">
      <c r="A54" s="7" t="s">
        <v>155</v>
      </c>
      <c r="B54" s="17" t="s">
        <v>136</v>
      </c>
      <c r="C54" s="18" t="s">
        <v>56</v>
      </c>
      <c r="D54" s="18" t="s">
        <v>11</v>
      </c>
      <c r="E54" s="9">
        <v>21</v>
      </c>
      <c r="F54" s="28">
        <f>1.47+1.47*21/100</f>
        <v>1.7786999999999999</v>
      </c>
      <c r="G54" s="28">
        <f>F54*50</f>
        <v>88.935000000000002</v>
      </c>
      <c r="H54" s="34" t="s">
        <v>209</v>
      </c>
    </row>
    <row r="55" spans="1:8" x14ac:dyDescent="0.2">
      <c r="A55" s="7" t="s">
        <v>156</v>
      </c>
      <c r="B55" s="17" t="s">
        <v>137</v>
      </c>
      <c r="C55" s="18" t="s">
        <v>61</v>
      </c>
      <c r="D55" s="18" t="s">
        <v>11</v>
      </c>
      <c r="E55" s="9">
        <v>21</v>
      </c>
      <c r="F55" s="28">
        <f>1.47+1.47*21/100</f>
        <v>1.7786999999999999</v>
      </c>
      <c r="G55" s="9">
        <f>F55*100</f>
        <v>177.87</v>
      </c>
      <c r="H55" s="34" t="s">
        <v>210</v>
      </c>
    </row>
    <row r="56" spans="1:8" x14ac:dyDescent="0.2">
      <c r="A56" s="7" t="s">
        <v>157</v>
      </c>
      <c r="B56" s="17" t="s">
        <v>138</v>
      </c>
      <c r="C56" s="18" t="s">
        <v>61</v>
      </c>
      <c r="D56" s="18" t="s">
        <v>11</v>
      </c>
      <c r="E56" s="9">
        <v>21</v>
      </c>
      <c r="F56" s="28">
        <f>1.47+1.47*21/100</f>
        <v>1.7786999999999999</v>
      </c>
      <c r="G56" s="9">
        <f>F56*100</f>
        <v>177.87</v>
      </c>
      <c r="H56" s="34" t="s">
        <v>211</v>
      </c>
    </row>
    <row r="57" spans="1:8" x14ac:dyDescent="0.25">
      <c r="A57" s="7"/>
      <c r="B57" s="24" t="s">
        <v>158</v>
      </c>
      <c r="C57" s="18"/>
      <c r="D57" s="18"/>
      <c r="E57" s="9"/>
      <c r="F57" s="9"/>
      <c r="G57" s="28">
        <f>SUM(G53:G56)</f>
        <v>533.61</v>
      </c>
      <c r="H57" s="9"/>
    </row>
    <row r="58" spans="1:8" x14ac:dyDescent="0.2">
      <c r="A58" s="7" t="s">
        <v>105</v>
      </c>
      <c r="B58" s="9" t="s">
        <v>103</v>
      </c>
      <c r="C58" s="3" t="s">
        <v>104</v>
      </c>
      <c r="D58" s="3" t="s">
        <v>11</v>
      </c>
      <c r="E58" s="9">
        <v>21</v>
      </c>
      <c r="F58" s="28">
        <f>1.96+1.96*21/100</f>
        <v>2.3715999999999999</v>
      </c>
      <c r="G58" s="28">
        <f>F58*5</f>
        <v>11.858000000000001</v>
      </c>
      <c r="H58" s="34" t="s">
        <v>212</v>
      </c>
    </row>
    <row r="59" spans="1:8" ht="38.25" x14ac:dyDescent="0.2">
      <c r="A59" s="7" t="s">
        <v>106</v>
      </c>
      <c r="B59" s="17" t="s">
        <v>160</v>
      </c>
      <c r="C59" s="18" t="s">
        <v>68</v>
      </c>
      <c r="D59" s="18" t="s">
        <v>74</v>
      </c>
      <c r="E59" s="19">
        <v>21</v>
      </c>
      <c r="F59" s="32">
        <f>2.475+2.475*21/100</f>
        <v>2.9947500000000002</v>
      </c>
      <c r="G59" s="32">
        <f>F59*5</f>
        <v>14.973750000000001</v>
      </c>
      <c r="H59" s="34" t="s">
        <v>213</v>
      </c>
    </row>
    <row r="60" spans="1:8" ht="38.25" x14ac:dyDescent="0.2">
      <c r="A60" s="7" t="s">
        <v>107</v>
      </c>
      <c r="B60" s="17" t="s">
        <v>161</v>
      </c>
      <c r="C60" s="18" t="s">
        <v>67</v>
      </c>
      <c r="D60" s="18" t="s">
        <v>74</v>
      </c>
      <c r="E60" s="9">
        <v>21</v>
      </c>
      <c r="F60" s="9">
        <f>65+65*21/100</f>
        <v>78.650000000000006</v>
      </c>
      <c r="G60" s="9">
        <f>F60*3</f>
        <v>235.95000000000002</v>
      </c>
      <c r="H60" s="34" t="s">
        <v>214</v>
      </c>
    </row>
    <row r="61" spans="1:8" x14ac:dyDescent="0.2">
      <c r="A61" s="7" t="s">
        <v>109</v>
      </c>
      <c r="B61" s="8" t="s">
        <v>108</v>
      </c>
      <c r="C61" s="3" t="s">
        <v>69</v>
      </c>
      <c r="D61" s="18" t="s">
        <v>11</v>
      </c>
      <c r="E61" s="9">
        <v>21</v>
      </c>
      <c r="F61" s="28">
        <f>16.8+16.8*21/100</f>
        <v>20.327999999999999</v>
      </c>
      <c r="G61" s="28">
        <f>F61</f>
        <v>20.327999999999999</v>
      </c>
      <c r="H61" s="34" t="s">
        <v>215</v>
      </c>
    </row>
    <row r="62" spans="1:8" x14ac:dyDescent="0.25">
      <c r="A62" s="7" t="s">
        <v>159</v>
      </c>
      <c r="B62" s="17" t="s">
        <v>162</v>
      </c>
      <c r="C62" s="18"/>
      <c r="D62" s="3"/>
      <c r="E62" s="9"/>
      <c r="F62" s="9"/>
      <c r="G62" s="9"/>
      <c r="H62" s="9"/>
    </row>
    <row r="63" spans="1:8" ht="51" x14ac:dyDescent="0.2">
      <c r="A63" s="7" t="s">
        <v>163</v>
      </c>
      <c r="B63" s="17" t="s">
        <v>110</v>
      </c>
      <c r="C63" s="18" t="s">
        <v>69</v>
      </c>
      <c r="D63" s="18" t="s">
        <v>11</v>
      </c>
      <c r="E63" s="9">
        <v>21</v>
      </c>
      <c r="F63" s="9">
        <f>142.8+142.8*21/100</f>
        <v>172.78800000000001</v>
      </c>
      <c r="G63" s="9">
        <f>F63</f>
        <v>172.78800000000001</v>
      </c>
      <c r="H63" s="34" t="s">
        <v>216</v>
      </c>
    </row>
    <row r="64" spans="1:8" ht="25.5" x14ac:dyDescent="0.2">
      <c r="A64" s="7" t="s">
        <v>164</v>
      </c>
      <c r="B64" s="17" t="s">
        <v>78</v>
      </c>
      <c r="C64" s="23" t="s">
        <v>79</v>
      </c>
      <c r="D64" s="18" t="s">
        <v>11</v>
      </c>
      <c r="E64" s="9">
        <v>21</v>
      </c>
      <c r="F64" s="9">
        <f>0.02112+0.02112*21/100</f>
        <v>2.55552E-2</v>
      </c>
      <c r="G64" s="28">
        <f>F64*500</f>
        <v>12.7776</v>
      </c>
      <c r="H64" s="34" t="s">
        <v>199</v>
      </c>
    </row>
    <row r="65" spans="1:8" ht="51" x14ac:dyDescent="0.2">
      <c r="A65" s="7" t="s">
        <v>165</v>
      </c>
      <c r="B65" s="17" t="s">
        <v>111</v>
      </c>
      <c r="C65" s="18" t="s">
        <v>69</v>
      </c>
      <c r="D65" s="18" t="s">
        <v>11</v>
      </c>
      <c r="E65" s="9">
        <v>21</v>
      </c>
      <c r="F65" s="9">
        <f>142.8+142.8*21/100</f>
        <v>172.78800000000001</v>
      </c>
      <c r="G65" s="9">
        <f>F65</f>
        <v>172.78800000000001</v>
      </c>
      <c r="H65" s="34" t="s">
        <v>217</v>
      </c>
    </row>
    <row r="66" spans="1:8" ht="25.5" x14ac:dyDescent="0.2">
      <c r="A66" s="7" t="s">
        <v>166</v>
      </c>
      <c r="B66" s="17" t="s">
        <v>80</v>
      </c>
      <c r="C66" s="18" t="s">
        <v>58</v>
      </c>
      <c r="D66" s="18" t="s">
        <v>11</v>
      </c>
      <c r="E66" s="9">
        <v>21</v>
      </c>
      <c r="F66" s="9">
        <f>0.020625+0.020625*21/100</f>
        <v>2.4956249999999999E-2</v>
      </c>
      <c r="G66" s="28">
        <f>F66*1000</f>
        <v>24.956250000000001</v>
      </c>
      <c r="H66" s="34" t="s">
        <v>200</v>
      </c>
    </row>
    <row r="67" spans="1:8" ht="51" x14ac:dyDescent="0.2">
      <c r="A67" s="7" t="s">
        <v>167</v>
      </c>
      <c r="B67" s="17" t="s">
        <v>112</v>
      </c>
      <c r="C67" s="18" t="s">
        <v>69</v>
      </c>
      <c r="D67" s="18" t="s">
        <v>11</v>
      </c>
      <c r="E67" s="9">
        <v>21</v>
      </c>
      <c r="F67" s="9">
        <f>142.8+142.8*21/100</f>
        <v>172.78800000000001</v>
      </c>
      <c r="G67" s="9">
        <f>F67</f>
        <v>172.78800000000001</v>
      </c>
      <c r="H67" s="34" t="s">
        <v>218</v>
      </c>
    </row>
    <row r="68" spans="1:8" ht="25.5" x14ac:dyDescent="0.2">
      <c r="A68" s="7" t="s">
        <v>168</v>
      </c>
      <c r="B68" s="17" t="s">
        <v>82</v>
      </c>
      <c r="C68" s="18" t="s">
        <v>58</v>
      </c>
      <c r="D68" s="18" t="s">
        <v>11</v>
      </c>
      <c r="E68" s="20">
        <v>21</v>
      </c>
      <c r="F68" s="20">
        <f>0.022+0.022*21/100</f>
        <v>2.6619999999999998E-2</v>
      </c>
      <c r="G68" s="20">
        <f>F68*1000</f>
        <v>26.619999999999997</v>
      </c>
      <c r="H68" s="34" t="s">
        <v>201</v>
      </c>
    </row>
    <row r="69" spans="1:8" ht="25.5" x14ac:dyDescent="0.2">
      <c r="A69" s="7" t="s">
        <v>169</v>
      </c>
      <c r="B69" s="17" t="s">
        <v>113</v>
      </c>
      <c r="C69" s="18" t="s">
        <v>69</v>
      </c>
      <c r="D69" s="18" t="s">
        <v>11</v>
      </c>
      <c r="E69" s="13">
        <v>21</v>
      </c>
      <c r="F69" s="30">
        <f>71.064+71.064*21/100</f>
        <v>85.987439999999992</v>
      </c>
      <c r="G69" s="30">
        <f>F69</f>
        <v>85.987439999999992</v>
      </c>
      <c r="H69" s="34" t="s">
        <v>219</v>
      </c>
    </row>
    <row r="70" spans="1:8" x14ac:dyDescent="0.25">
      <c r="A70" s="12"/>
      <c r="B70" s="25" t="s">
        <v>170</v>
      </c>
      <c r="C70" s="18"/>
      <c r="D70" s="16"/>
      <c r="E70" s="13"/>
      <c r="F70" s="13"/>
      <c r="G70" s="13">
        <f>SUM(G63:G69)</f>
        <v>668.7052900000001</v>
      </c>
      <c r="H70" s="13"/>
    </row>
    <row r="72" spans="1:8" ht="76.5" x14ac:dyDescent="0.25">
      <c r="B72" s="22" t="s">
        <v>171</v>
      </c>
    </row>
  </sheetData>
  <mergeCells count="1">
    <mergeCell ref="A1:F1"/>
  </mergeCells>
  <pageMargins left="0.31496062992125984"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Aiva Inbio</cp:lastModifiedBy>
  <cp:lastPrinted>2016-01-12T09:30:30Z</cp:lastPrinted>
  <dcterms:created xsi:type="dcterms:W3CDTF">2015-11-27T07:44:26Z</dcterms:created>
  <dcterms:modified xsi:type="dcterms:W3CDTF">2016-03-22T14:52:47Z</dcterms:modified>
</cp:coreProperties>
</file>