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/>
  <mc:AlternateContent xmlns:mc="http://schemas.openxmlformats.org/markup-compatibility/2006">
    <mc:Choice Requires="x15">
      <x15ac:absPath xmlns:x15ac="http://schemas.microsoft.com/office/spreadsheetml/2010/11/ac" url="C:\Users\erika.pakalniene\Desktop\"/>
    </mc:Choice>
  </mc:AlternateContent>
  <xr:revisionPtr revIDLastSave="0" documentId="8_{1B5A18AB-9A38-4F33-BF19-0243D4E51CB9}" xr6:coauthVersionLast="43" xr6:coauthVersionMax="43" xr10:uidLastSave="{00000000-0000-0000-0000-000000000000}"/>
  <bookViews>
    <workbookView xWindow="-108" yWindow="-108" windowWidth="23256" windowHeight="12576" tabRatio="669" xr2:uid="{00000000-000D-0000-FFFF-FFFF00000000}"/>
  </bookViews>
  <sheets>
    <sheet name="Sheet1" sheetId="16" r:id="rId1"/>
    <sheet name="atsakymai" sheetId="7" r:id="rId2"/>
    <sheet name="FBOFF" sheetId="8" state="hidden" r:id="rId3"/>
    <sheet name="Form" sheetId="9" state="hidden" r:id="rId4"/>
    <sheet name="Param" sheetId="10" state="hidden" r:id="rId5"/>
    <sheet name="AnsDef" sheetId="11" state="hidden" r:id="rId6"/>
  </sheets>
  <definedNames>
    <definedName name="_xlnm._FilterDatabase" localSheetId="5" hidden="1">AnsDef!$A$3:$P$39</definedName>
    <definedName name="_xlnm._FilterDatabase" localSheetId="3" hidden="1">Form!$A$12:$D$43</definedName>
    <definedName name="anscode">AnsDef!$C$4:$C$39</definedName>
    <definedName name="AnsDef">AnsDef!$A$3:$P$39</definedName>
    <definedName name="AnsTypecd">AnsDef!$C$4:$P$39</definedName>
    <definedName name="answer">Param!$G$3:$H$7</definedName>
    <definedName name="DateTag">#REF!</definedName>
    <definedName name="DSAHeight">Param!$BC$4</definedName>
    <definedName name="DSBHeight">Param!$BC$5</definedName>
    <definedName name="EmpTag">#REF!</definedName>
    <definedName name="EvCount">Param!$BC$3</definedName>
    <definedName name="FELabel">Param!$AZ$4</definedName>
    <definedName name="FELoc">Param!$BC$7</definedName>
    <definedName name="FETag">#REF!</definedName>
    <definedName name="formblock">Form!$A$12:$K$42</definedName>
    <definedName name="FormNm">Form!$C$1</definedName>
    <definedName name="FormType">Param!$BI$3</definedName>
    <definedName name="FormVer">Form!$C$2</definedName>
    <definedName name="GuideDate">#REF!</definedName>
    <definedName name="MonCd">Param!$AS$3:$AT$15</definedName>
    <definedName name="MultiYear">Param!$BC$8</definedName>
    <definedName name="MultiMonth">Param!$BC$6</definedName>
    <definedName name="ObsNum">Param!$AM$3:$AN$55</definedName>
    <definedName name="Priorityvalue">Form!$C$4:$D$10</definedName>
    <definedName name="RecTag">#REF!</definedName>
    <definedName name="RefEvAns">#REF!</definedName>
    <definedName name="respA">Param!$I$3:$I$7</definedName>
    <definedName name="respB">Param!$J$3:$J$7</definedName>
    <definedName name="respC">Param!$K$3:$K$7</definedName>
    <definedName name="respD">Param!$L$3:$L$7</definedName>
    <definedName name="respE">Param!$M$3:$M$7</definedName>
    <definedName name="respF">Param!$N$3:$N$7</definedName>
    <definedName name="respG">Param!$O$3:$O$7</definedName>
    <definedName name="respH">Param!$P$3:$P$7</definedName>
    <definedName name="RespList">Param!$H$3:$H$7</definedName>
    <definedName name="ScoreTag">#REF!</definedName>
    <definedName name="SctNm01">Param!$C$3</definedName>
    <definedName name="SctNm02">Param!$C$4</definedName>
    <definedName name="SctNm03">Param!$C$5</definedName>
    <definedName name="SctNm04">Param!$C$6</definedName>
    <definedName name="SctNm05">Param!$C$7</definedName>
    <definedName name="SctNm06">Param!$C$8</definedName>
    <definedName name="SctNm07">Param!$C$9</definedName>
    <definedName name="SctNm08">Param!$C$10</definedName>
    <definedName name="SctNm09">Param!$C$11</definedName>
    <definedName name="SctNm10">Param!$C$12</definedName>
    <definedName name="Sec01Tag">Param!$B$3</definedName>
    <definedName name="Sec02Tag">Param!$B$4</definedName>
    <definedName name="Sec03Tag">Param!$B$5</definedName>
    <definedName name="Sec04Tag">Param!$B$6</definedName>
    <definedName name="Sections">Param!$F$2</definedName>
    <definedName name="SecWeight">Param!$C$3:$F$6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33" i="16" l="1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Y32" i="16"/>
  <c r="X32" i="16"/>
  <c r="W32" i="16"/>
  <c r="V32" i="16"/>
  <c r="U32" i="16"/>
  <c r="T32" i="16"/>
  <c r="S32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Y6" i="16"/>
  <c r="X6" i="16"/>
  <c r="W6" i="16"/>
  <c r="V6" i="16"/>
  <c r="U6" i="16"/>
  <c r="U5" i="16" s="1"/>
  <c r="T6" i="16"/>
  <c r="T5" i="16" s="1"/>
  <c r="S6" i="16"/>
  <c r="R6" i="16"/>
  <c r="Q6" i="16"/>
  <c r="Q5" i="16" s="1"/>
  <c r="P6" i="16"/>
  <c r="O6" i="16"/>
  <c r="N6" i="16"/>
  <c r="N5" i="16" s="1"/>
  <c r="M6" i="16"/>
  <c r="M5" i="16" s="1"/>
  <c r="L6" i="16"/>
  <c r="K6" i="16"/>
  <c r="J6" i="16"/>
  <c r="J5" i="16" s="1"/>
  <c r="I6" i="16"/>
  <c r="H6" i="16"/>
  <c r="G6" i="16"/>
  <c r="F6" i="16"/>
  <c r="Y5" i="16"/>
  <c r="V5" i="16"/>
  <c r="S5" i="16"/>
  <c r="R5" i="16"/>
  <c r="L5" i="16"/>
  <c r="K5" i="16"/>
  <c r="F5" i="16"/>
  <c r="F8" i="16" l="1"/>
  <c r="F7" i="16" s="1"/>
  <c r="J8" i="16"/>
  <c r="J7" i="16" s="1"/>
  <c r="K8" i="16"/>
  <c r="K7" i="16" s="1"/>
  <c r="L8" i="16"/>
  <c r="L7" i="16" s="1"/>
  <c r="M8" i="16"/>
  <c r="M7" i="16" s="1"/>
  <c r="N8" i="16"/>
  <c r="N7" i="16" s="1"/>
  <c r="R8" i="16"/>
  <c r="R7" i="16" s="1"/>
  <c r="S8" i="16"/>
  <c r="S7" i="16" s="1"/>
  <c r="T8" i="16"/>
  <c r="T7" i="16" s="1"/>
  <c r="U8" i="16"/>
  <c r="U7" i="16" s="1"/>
  <c r="V8" i="16"/>
  <c r="V7" i="16" s="1"/>
  <c r="Z30" i="16"/>
  <c r="Z31" i="16"/>
  <c r="Z32" i="16"/>
  <c r="Z33" i="16"/>
  <c r="G5" i="16"/>
  <c r="G8" i="16" s="1"/>
  <c r="G7" i="16" s="1"/>
  <c r="O5" i="16"/>
  <c r="O8" i="16" s="1"/>
  <c r="W5" i="16"/>
  <c r="Z6" i="16"/>
  <c r="H5" i="16"/>
  <c r="H8" i="16" s="1"/>
  <c r="H7" i="16" s="1"/>
  <c r="P5" i="16"/>
  <c r="X5" i="16"/>
  <c r="I8" i="16"/>
  <c r="I7" i="16" s="1"/>
  <c r="Q8" i="16"/>
  <c r="Q7" i="16" s="1"/>
  <c r="Y8" i="16"/>
  <c r="Y7" i="16" s="1"/>
  <c r="O7" i="16" l="1"/>
  <c r="P8" i="16"/>
  <c r="P7" i="16" s="1"/>
  <c r="W8" i="16"/>
  <c r="W7" i="16" s="1"/>
  <c r="Z5" i="16"/>
  <c r="X8" i="16"/>
  <c r="X7" i="16" l="1"/>
  <c r="Z7" i="16" s="1"/>
  <c r="Z8" i="16"/>
  <c r="B49" i="11" l="1"/>
  <c r="B44" i="11"/>
  <c r="K35" i="11" s="1"/>
  <c r="B43" i="11"/>
  <c r="K22" i="11" s="1"/>
  <c r="L22" i="11" s="1"/>
  <c r="B42" i="11"/>
  <c r="K14" i="11" s="1"/>
  <c r="L14" i="11" s="1"/>
  <c r="N39" i="11"/>
  <c r="M39" i="11"/>
  <c r="L39" i="11"/>
  <c r="K39" i="11"/>
  <c r="N38" i="11"/>
  <c r="M38" i="11"/>
  <c r="L38" i="11"/>
  <c r="K38" i="11"/>
  <c r="N37" i="11"/>
  <c r="M37" i="11"/>
  <c r="L37" i="11"/>
  <c r="K37" i="11"/>
  <c r="N36" i="11"/>
  <c r="M36" i="11"/>
  <c r="L36" i="11"/>
  <c r="K36" i="11"/>
  <c r="N35" i="11"/>
  <c r="M35" i="11"/>
  <c r="L35" i="11"/>
  <c r="N34" i="11"/>
  <c r="M34" i="11"/>
  <c r="N33" i="11"/>
  <c r="M33" i="11"/>
  <c r="L33" i="11"/>
  <c r="N32" i="11"/>
  <c r="M32" i="11"/>
  <c r="N31" i="11"/>
  <c r="M31" i="11"/>
  <c r="L31" i="11"/>
  <c r="N30" i="11"/>
  <c r="M30" i="11"/>
  <c r="N29" i="11"/>
  <c r="M29" i="11"/>
  <c r="L29" i="11"/>
  <c r="N28" i="11"/>
  <c r="M28" i="11"/>
  <c r="N27" i="11"/>
  <c r="M27" i="11"/>
  <c r="L27" i="11"/>
  <c r="K27" i="11"/>
  <c r="N26" i="11"/>
  <c r="M26" i="11"/>
  <c r="N25" i="11"/>
  <c r="M25" i="11"/>
  <c r="L25" i="11"/>
  <c r="K25" i="11"/>
  <c r="N24" i="11"/>
  <c r="M24" i="11"/>
  <c r="K24" i="11"/>
  <c r="L24" i="11" s="1"/>
  <c r="N23" i="11"/>
  <c r="J33" i="9" s="1"/>
  <c r="M23" i="11"/>
  <c r="I34" i="9" s="1"/>
  <c r="L23" i="11"/>
  <c r="K23" i="11"/>
  <c r="N22" i="11"/>
  <c r="M22" i="11"/>
  <c r="N21" i="11"/>
  <c r="M21" i="11"/>
  <c r="L21" i="11"/>
  <c r="K21" i="11"/>
  <c r="N20" i="11"/>
  <c r="M20" i="11"/>
  <c r="K20" i="11"/>
  <c r="L20" i="11" s="1"/>
  <c r="N19" i="11"/>
  <c r="M19" i="11"/>
  <c r="L19" i="11"/>
  <c r="K19" i="11"/>
  <c r="N18" i="11"/>
  <c r="M18" i="11"/>
  <c r="N17" i="11"/>
  <c r="M17" i="11"/>
  <c r="L17" i="11"/>
  <c r="N16" i="11"/>
  <c r="M16" i="11"/>
  <c r="N15" i="11"/>
  <c r="M15" i="11"/>
  <c r="L15" i="11"/>
  <c r="N14" i="11"/>
  <c r="M14" i="11"/>
  <c r="N13" i="11"/>
  <c r="M13" i="11"/>
  <c r="L13" i="11"/>
  <c r="N12" i="11"/>
  <c r="M12" i="11"/>
  <c r="K12" i="11"/>
  <c r="L12" i="11" s="1"/>
  <c r="N11" i="11"/>
  <c r="M11" i="11"/>
  <c r="L11" i="11"/>
  <c r="N10" i="11"/>
  <c r="M10" i="11"/>
  <c r="N9" i="11"/>
  <c r="M9" i="11"/>
  <c r="L9" i="11"/>
  <c r="N8" i="11"/>
  <c r="M8" i="11"/>
  <c r="N7" i="11"/>
  <c r="M7" i="11"/>
  <c r="L7" i="11"/>
  <c r="N6" i="11"/>
  <c r="M6" i="11"/>
  <c r="N5" i="11"/>
  <c r="M5" i="11"/>
  <c r="L5" i="11"/>
  <c r="N3" i="11"/>
  <c r="M3" i="11"/>
  <c r="I12" i="9" s="1"/>
  <c r="L3" i="11"/>
  <c r="K3" i="11"/>
  <c r="J3" i="11"/>
  <c r="H3" i="11"/>
  <c r="G3" i="11"/>
  <c r="F3" i="11"/>
  <c r="E3" i="11"/>
  <c r="D3" i="11"/>
  <c r="AE104" i="10"/>
  <c r="AE103" i="10"/>
  <c r="AE102" i="10"/>
  <c r="AE101" i="10"/>
  <c r="AE100" i="10"/>
  <c r="AE99" i="10"/>
  <c r="AE98" i="10"/>
  <c r="AE97" i="10"/>
  <c r="AE96" i="10"/>
  <c r="AE95" i="10"/>
  <c r="AE94" i="10"/>
  <c r="AE93" i="10"/>
  <c r="AE92" i="10"/>
  <c r="AE91" i="10"/>
  <c r="AE90" i="10"/>
  <c r="AE89" i="10"/>
  <c r="AE88" i="10"/>
  <c r="AE87" i="10"/>
  <c r="AE86" i="10"/>
  <c r="AE85" i="10"/>
  <c r="AE84" i="10"/>
  <c r="AE83" i="10"/>
  <c r="AE82" i="10"/>
  <c r="AE81" i="10"/>
  <c r="AE80" i="10"/>
  <c r="AE79" i="10"/>
  <c r="AE78" i="10"/>
  <c r="AE77" i="10"/>
  <c r="AE76" i="10"/>
  <c r="AE75" i="10"/>
  <c r="AE74" i="10"/>
  <c r="AE73" i="10"/>
  <c r="AE72" i="10"/>
  <c r="AE71" i="10"/>
  <c r="AE70" i="10"/>
  <c r="AE69" i="10"/>
  <c r="AE68" i="10"/>
  <c r="AE67" i="10"/>
  <c r="AE66" i="10"/>
  <c r="AE65" i="10"/>
  <c r="AE64" i="10"/>
  <c r="AE63" i="10"/>
  <c r="AE62" i="10"/>
  <c r="AE61" i="10"/>
  <c r="AE60" i="10"/>
  <c r="AE59" i="10"/>
  <c r="AE58" i="10"/>
  <c r="AE57" i="10"/>
  <c r="AE56" i="10"/>
  <c r="AE55" i="10"/>
  <c r="AE54" i="10"/>
  <c r="AE53" i="10"/>
  <c r="AE52" i="10"/>
  <c r="AE51" i="10"/>
  <c r="AE50" i="10"/>
  <c r="AE49" i="10"/>
  <c r="AE48" i="10"/>
  <c r="AE47" i="10"/>
  <c r="AE46" i="10"/>
  <c r="AE45" i="10"/>
  <c r="AE44" i="10"/>
  <c r="AE43" i="10"/>
  <c r="AE42" i="10"/>
  <c r="AE41" i="10"/>
  <c r="AE40" i="10"/>
  <c r="AE39" i="10"/>
  <c r="AE38" i="10"/>
  <c r="AE37" i="10"/>
  <c r="AE36" i="10"/>
  <c r="AE35" i="10"/>
  <c r="AE34" i="10"/>
  <c r="AE33" i="10"/>
  <c r="AE32" i="10"/>
  <c r="AE31" i="10"/>
  <c r="AE30" i="10"/>
  <c r="Q30" i="10"/>
  <c r="AE29" i="10"/>
  <c r="Q29" i="10"/>
  <c r="AE28" i="10"/>
  <c r="Q28" i="10"/>
  <c r="AE27" i="10"/>
  <c r="Q27" i="10"/>
  <c r="AE26" i="10"/>
  <c r="Q26" i="10"/>
  <c r="AE25" i="10"/>
  <c r="Q25" i="10"/>
  <c r="AE24" i="10"/>
  <c r="Q24" i="10"/>
  <c r="AE23" i="10"/>
  <c r="Q23" i="10"/>
  <c r="AE22" i="10"/>
  <c r="Q22" i="10"/>
  <c r="AE21" i="10"/>
  <c r="Q21" i="10"/>
  <c r="AE20" i="10"/>
  <c r="Q20" i="10"/>
  <c r="AE19" i="10"/>
  <c r="Q19" i="10"/>
  <c r="AE18" i="10"/>
  <c r="Q18" i="10"/>
  <c r="AE17" i="10"/>
  <c r="Q17" i="10"/>
  <c r="AE16" i="10"/>
  <c r="Q16" i="10"/>
  <c r="AE15" i="10"/>
  <c r="Q15" i="10"/>
  <c r="AE14" i="10"/>
  <c r="Q14" i="10"/>
  <c r="AE13" i="10"/>
  <c r="Q13" i="10"/>
  <c r="AE12" i="10"/>
  <c r="Q12" i="10"/>
  <c r="AE11" i="10"/>
  <c r="Q11" i="10"/>
  <c r="AE10" i="10"/>
  <c r="Q10" i="10"/>
  <c r="AE9" i="10"/>
  <c r="Q9" i="10"/>
  <c r="BC8" i="10"/>
  <c r="AE8" i="10"/>
  <c r="Q8" i="10"/>
  <c r="AE7" i="10"/>
  <c r="Q7" i="10"/>
  <c r="L7" i="10"/>
  <c r="K7" i="10"/>
  <c r="J7" i="10"/>
  <c r="I7" i="10"/>
  <c r="BC6" i="10"/>
  <c r="AE6" i="10"/>
  <c r="Q6" i="10"/>
  <c r="P6" i="10"/>
  <c r="O6" i="10"/>
  <c r="N6" i="10"/>
  <c r="M6" i="10"/>
  <c r="L6" i="10"/>
  <c r="K6" i="10"/>
  <c r="J6" i="10"/>
  <c r="I6" i="10"/>
  <c r="BC5" i="10"/>
  <c r="AE5" i="10"/>
  <c r="Q5" i="10"/>
  <c r="P5" i="10"/>
  <c r="O5" i="10"/>
  <c r="N5" i="10"/>
  <c r="M5" i="10"/>
  <c r="L5" i="10"/>
  <c r="K5" i="10"/>
  <c r="J5" i="10"/>
  <c r="I5" i="10"/>
  <c r="BC4" i="10"/>
  <c r="AZ4" i="10"/>
  <c r="AE4" i="10"/>
  <c r="Q4" i="10"/>
  <c r="P4" i="10"/>
  <c r="O4" i="10"/>
  <c r="N4" i="10"/>
  <c r="M4" i="10"/>
  <c r="L4" i="10"/>
  <c r="K4" i="10"/>
  <c r="J4" i="10"/>
  <c r="I4" i="10"/>
  <c r="BC3" i="10"/>
  <c r="AR3" i="10"/>
  <c r="AP3" i="10"/>
  <c r="AO4" i="10" s="1"/>
  <c r="AE3" i="10"/>
  <c r="Q3" i="10"/>
  <c r="N3" i="10"/>
  <c r="M3" i="10"/>
  <c r="J3" i="10"/>
  <c r="I3" i="10"/>
  <c r="M42" i="9"/>
  <c r="J42" i="9"/>
  <c r="I42" i="9"/>
  <c r="H42" i="9"/>
  <c r="G42" i="9"/>
  <c r="F42" i="9"/>
  <c r="E42" i="9"/>
  <c r="B42" i="9"/>
  <c r="M41" i="9"/>
  <c r="J41" i="9"/>
  <c r="I41" i="9"/>
  <c r="H41" i="9"/>
  <c r="G41" i="9"/>
  <c r="F41" i="9"/>
  <c r="E41" i="9"/>
  <c r="B41" i="9"/>
  <c r="M40" i="9"/>
  <c r="J40" i="9"/>
  <c r="I40" i="9"/>
  <c r="H40" i="9"/>
  <c r="G40" i="9"/>
  <c r="F40" i="9"/>
  <c r="E40" i="9"/>
  <c r="B40" i="9"/>
  <c r="M39" i="9"/>
  <c r="J39" i="9"/>
  <c r="I39" i="9"/>
  <c r="H39" i="9"/>
  <c r="G39" i="9"/>
  <c r="F39" i="9"/>
  <c r="E39" i="9"/>
  <c r="B39" i="9"/>
  <c r="M38" i="9"/>
  <c r="J38" i="9"/>
  <c r="I38" i="9"/>
  <c r="H38" i="9"/>
  <c r="G38" i="9"/>
  <c r="F38" i="9"/>
  <c r="E38" i="9"/>
  <c r="B38" i="9"/>
  <c r="M37" i="9"/>
  <c r="J37" i="9"/>
  <c r="I37" i="9"/>
  <c r="H37" i="9"/>
  <c r="G37" i="9"/>
  <c r="F37" i="9"/>
  <c r="E37" i="9"/>
  <c r="B37" i="9"/>
  <c r="M36" i="9"/>
  <c r="J36" i="9"/>
  <c r="I36" i="9"/>
  <c r="H36" i="9"/>
  <c r="G36" i="9"/>
  <c r="F36" i="9"/>
  <c r="E36" i="9"/>
  <c r="B36" i="9"/>
  <c r="M35" i="9"/>
  <c r="J35" i="9"/>
  <c r="I35" i="9"/>
  <c r="H35" i="9"/>
  <c r="G35" i="9"/>
  <c r="F35" i="9"/>
  <c r="E35" i="9"/>
  <c r="B35" i="9"/>
  <c r="M34" i="9"/>
  <c r="J34" i="9"/>
  <c r="H34" i="9"/>
  <c r="G34" i="9"/>
  <c r="F34" i="9"/>
  <c r="E34" i="9"/>
  <c r="M33" i="9"/>
  <c r="I33" i="9"/>
  <c r="H33" i="9"/>
  <c r="G33" i="9"/>
  <c r="F33" i="9"/>
  <c r="E33" i="9"/>
  <c r="M32" i="9"/>
  <c r="M31" i="9"/>
  <c r="M30" i="9"/>
  <c r="M29" i="9"/>
  <c r="M28" i="9"/>
  <c r="M27" i="9"/>
  <c r="M26" i="9"/>
  <c r="M25" i="9"/>
  <c r="M24" i="9"/>
  <c r="M23" i="9"/>
  <c r="M21" i="9"/>
  <c r="N20" i="9"/>
  <c r="M20" i="9"/>
  <c r="M19" i="9"/>
  <c r="M18" i="9"/>
  <c r="M17" i="9"/>
  <c r="K17" i="9"/>
  <c r="N17" i="9" s="1"/>
  <c r="N16" i="9"/>
  <c r="M16" i="9"/>
  <c r="M15" i="9"/>
  <c r="M14" i="9"/>
  <c r="K14" i="9"/>
  <c r="N14" i="9" s="1"/>
  <c r="M13" i="9"/>
  <c r="N12" i="9"/>
  <c r="J12" i="9"/>
  <c r="H12" i="9"/>
  <c r="G12" i="9"/>
  <c r="F12" i="9"/>
  <c r="H31" i="8"/>
  <c r="B30" i="8"/>
  <c r="E29" i="8"/>
  <c r="H28" i="8"/>
  <c r="E28" i="8"/>
  <c r="B28" i="8"/>
  <c r="H27" i="8"/>
  <c r="B27" i="8"/>
  <c r="B26" i="8"/>
  <c r="H25" i="8"/>
  <c r="F24" i="8"/>
  <c r="C24" i="8"/>
  <c r="H22" i="8"/>
  <c r="B19" i="8"/>
  <c r="H18" i="8"/>
  <c r="E18" i="8"/>
  <c r="B18" i="8"/>
  <c r="E17" i="8"/>
  <c r="B17" i="8"/>
  <c r="E16" i="8"/>
  <c r="B16" i="8"/>
  <c r="B15" i="8"/>
  <c r="H14" i="8"/>
  <c r="F13" i="8"/>
  <c r="C13" i="8"/>
  <c r="C11" i="8"/>
  <c r="F10" i="8"/>
  <c r="C10" i="8"/>
  <c r="F9" i="8"/>
  <c r="C9" i="8"/>
  <c r="F8" i="8"/>
  <c r="E8" i="8"/>
  <c r="I7" i="8"/>
  <c r="E7" i="8"/>
  <c r="I6" i="8"/>
  <c r="F6" i="8"/>
  <c r="E6" i="8"/>
  <c r="B6" i="8"/>
  <c r="I5" i="8"/>
  <c r="F5" i="8"/>
  <c r="E5" i="8"/>
  <c r="E4" i="8"/>
  <c r="C2" i="8"/>
  <c r="B2" i="8"/>
  <c r="F11" i="8"/>
  <c r="K33" i="9" l="1"/>
  <c r="N33" i="9" s="1"/>
  <c r="K26" i="11"/>
  <c r="L26" i="11" s="1"/>
  <c r="K38" i="9"/>
  <c r="N38" i="9" s="1"/>
  <c r="K42" i="9"/>
  <c r="N42" i="9" s="1"/>
  <c r="AR4" i="10"/>
  <c r="AP4" i="10"/>
  <c r="AO5" i="10" s="1"/>
  <c r="K35" i="9"/>
  <c r="N35" i="9" s="1"/>
  <c r="K37" i="9"/>
  <c r="N37" i="9" s="1"/>
  <c r="K39" i="9"/>
  <c r="N39" i="9" s="1"/>
  <c r="K17" i="11"/>
  <c r="K18" i="11"/>
  <c r="L18" i="11" s="1"/>
  <c r="K15" i="11"/>
  <c r="K16" i="11"/>
  <c r="L16" i="11" s="1"/>
  <c r="K34" i="9"/>
  <c r="N34" i="9" s="1"/>
  <c r="K13" i="11"/>
  <c r="M10" i="9"/>
  <c r="K41" i="9"/>
  <c r="N41" i="9" s="1"/>
  <c r="BI3" i="10"/>
  <c r="K36" i="9"/>
  <c r="N36" i="9" s="1"/>
  <c r="K40" i="9"/>
  <c r="N40" i="9" s="1"/>
  <c r="K28" i="11"/>
  <c r="L28" i="11" s="1"/>
  <c r="K29" i="11"/>
  <c r="K30" i="11"/>
  <c r="L30" i="11" s="1"/>
  <c r="K31" i="11"/>
  <c r="K32" i="11"/>
  <c r="L32" i="11" s="1"/>
  <c r="K33" i="11"/>
  <c r="K34" i="11"/>
  <c r="L34" i="11" s="1"/>
  <c r="AP5" i="10" l="1"/>
  <c r="AO6" i="10" s="1"/>
  <c r="AR5" i="10"/>
  <c r="C11" i="10"/>
  <c r="B10" i="10"/>
  <c r="B6" i="10"/>
  <c r="C4" i="10"/>
  <c r="C12" i="10"/>
  <c r="B11" i="10"/>
  <c r="C7" i="10"/>
  <c r="C5" i="10"/>
  <c r="B4" i="10"/>
  <c r="C3" i="10"/>
  <c r="B34" i="9"/>
  <c r="D32" i="9"/>
  <c r="D31" i="9"/>
  <c r="D30" i="9"/>
  <c r="D29" i="9"/>
  <c r="D28" i="9"/>
  <c r="D27" i="9"/>
  <c r="D26" i="9"/>
  <c r="D25" i="9"/>
  <c r="D24" i="9"/>
  <c r="B9" i="10"/>
  <c r="B5" i="10"/>
  <c r="B3" i="10"/>
  <c r="C32" i="9"/>
  <c r="B32" i="9" s="1"/>
  <c r="C30" i="9"/>
  <c r="B30" i="9" s="1"/>
  <c r="C28" i="9"/>
  <c r="B28" i="9" s="1"/>
  <c r="C26" i="9"/>
  <c r="B26" i="9" s="1"/>
  <c r="C24" i="9"/>
  <c r="B24" i="9" s="1"/>
  <c r="B8" i="10"/>
  <c r="C6" i="10"/>
  <c r="C25" i="9"/>
  <c r="B25" i="9" s="1"/>
  <c r="C23" i="9"/>
  <c r="B23" i="9" s="1"/>
  <c r="C22" i="9"/>
  <c r="B22" i="9" s="1"/>
  <c r="D21" i="9"/>
  <c r="C20" i="9"/>
  <c r="B20" i="9" s="1"/>
  <c r="C19" i="9"/>
  <c r="B19" i="9" s="1"/>
  <c r="D15" i="9"/>
  <c r="B12" i="10"/>
  <c r="C10" i="10"/>
  <c r="C9" i="10"/>
  <c r="B33" i="9"/>
  <c r="C27" i="9"/>
  <c r="B27" i="9" s="1"/>
  <c r="C21" i="9"/>
  <c r="B21" i="9" s="1"/>
  <c r="D17" i="9"/>
  <c r="D16" i="9"/>
  <c r="C15" i="9"/>
  <c r="B15" i="9" s="1"/>
  <c r="C31" i="9"/>
  <c r="B31" i="9" s="1"/>
  <c r="C14" i="9"/>
  <c r="B14" i="9" s="1"/>
  <c r="C29" i="9"/>
  <c r="B29" i="9" s="1"/>
  <c r="D20" i="9"/>
  <c r="C18" i="9"/>
  <c r="D4" i="9"/>
  <c r="B41" i="11" s="1"/>
  <c r="B7" i="10"/>
  <c r="D23" i="9"/>
  <c r="D22" i="9"/>
  <c r="C17" i="9"/>
  <c r="B17" i="9" s="1"/>
  <c r="C16" i="9"/>
  <c r="B16" i="9" s="1"/>
  <c r="D13" i="9"/>
  <c r="F3" i="9"/>
  <c r="C13" i="9"/>
  <c r="B13" i="9" s="1"/>
  <c r="D14" i="9"/>
  <c r="C8" i="10"/>
  <c r="D19" i="9"/>
  <c r="AR6" i="10" l="1"/>
  <c r="AP6" i="10"/>
  <c r="AO7" i="10" s="1"/>
  <c r="G14" i="9"/>
  <c r="E14" i="9"/>
  <c r="J14" i="9"/>
  <c r="H14" i="9"/>
  <c r="I16" i="9"/>
  <c r="E16" i="9"/>
  <c r="H16" i="9"/>
  <c r="G16" i="9"/>
  <c r="F16" i="9"/>
  <c r="K16" i="9" s="1"/>
  <c r="J16" i="9"/>
  <c r="I15" i="9"/>
  <c r="G15" i="9"/>
  <c r="E15" i="9"/>
  <c r="J15" i="9"/>
  <c r="F15" i="9"/>
  <c r="K15" i="9" s="1"/>
  <c r="N15" i="9" s="1"/>
  <c r="H27" i="9"/>
  <c r="F27" i="9"/>
  <c r="K27" i="9" s="1"/>
  <c r="N27" i="9" s="1"/>
  <c r="E27" i="9"/>
  <c r="J27" i="9"/>
  <c r="I27" i="9"/>
  <c r="G27" i="9"/>
  <c r="H31" i="9"/>
  <c r="F31" i="9"/>
  <c r="K31" i="9" s="1"/>
  <c r="N31" i="9" s="1"/>
  <c r="I31" i="9"/>
  <c r="G31" i="9"/>
  <c r="J31" i="9"/>
  <c r="E31" i="9"/>
  <c r="B24" i="8"/>
  <c r="H17" i="8"/>
  <c r="H5" i="8"/>
  <c r="K4" i="11"/>
  <c r="L4" i="11" s="1"/>
  <c r="K6" i="11"/>
  <c r="L6" i="11" s="1"/>
  <c r="K5" i="11"/>
  <c r="K8" i="11"/>
  <c r="L8" i="11" s="1"/>
  <c r="K7" i="11"/>
  <c r="K10" i="11"/>
  <c r="L10" i="11" s="1"/>
  <c r="K9" i="11"/>
  <c r="K11" i="11"/>
  <c r="J17" i="9"/>
  <c r="E17" i="9"/>
  <c r="I17" i="9"/>
  <c r="H17" i="9"/>
  <c r="G17" i="9"/>
  <c r="H24" i="9"/>
  <c r="I24" i="9"/>
  <c r="J24" i="9"/>
  <c r="G24" i="9"/>
  <c r="F24" i="9"/>
  <c r="K24" i="9" s="1"/>
  <c r="N24" i="9" s="1"/>
  <c r="E24" i="9"/>
  <c r="H28" i="9"/>
  <c r="I28" i="9"/>
  <c r="F28" i="9"/>
  <c r="K28" i="9" s="1"/>
  <c r="N28" i="9" s="1"/>
  <c r="E28" i="9"/>
  <c r="J28" i="9"/>
  <c r="G28" i="9"/>
  <c r="H32" i="9"/>
  <c r="I32" i="9"/>
  <c r="J32" i="9"/>
  <c r="G32" i="9"/>
  <c r="E32" i="9"/>
  <c r="F32" i="9"/>
  <c r="K32" i="9" s="1"/>
  <c r="N32" i="9" s="1"/>
  <c r="D5" i="10"/>
  <c r="F20" i="8"/>
  <c r="F21" i="8"/>
  <c r="F15" i="8"/>
  <c r="F19" i="8"/>
  <c r="F18" i="8"/>
  <c r="F16" i="8"/>
  <c r="F17" i="8"/>
  <c r="D4" i="10"/>
  <c r="C30" i="8"/>
  <c r="C26" i="8"/>
  <c r="C28" i="8"/>
  <c r="C27" i="8"/>
  <c r="C29" i="8"/>
  <c r="G19" i="9"/>
  <c r="J19" i="9"/>
  <c r="F19" i="9"/>
  <c r="K19" i="9" s="1"/>
  <c r="N19" i="9" s="1"/>
  <c r="I19" i="9"/>
  <c r="H19" i="9"/>
  <c r="E19" i="9"/>
  <c r="I22" i="9"/>
  <c r="E22" i="9"/>
  <c r="H22" i="9"/>
  <c r="G22" i="9"/>
  <c r="J22" i="9"/>
  <c r="F22" i="9"/>
  <c r="K22" i="9" s="1"/>
  <c r="N22" i="9" s="1"/>
  <c r="G18" i="9"/>
  <c r="B18" i="9"/>
  <c r="J18" i="9"/>
  <c r="F18" i="9"/>
  <c r="K18" i="9" s="1"/>
  <c r="N18" i="9" s="1"/>
  <c r="E18" i="9"/>
  <c r="I18" i="9"/>
  <c r="H18" i="9"/>
  <c r="F2" i="10"/>
  <c r="H4" i="8"/>
  <c r="H13" i="8"/>
  <c r="B13" i="8"/>
  <c r="H25" i="9"/>
  <c r="F25" i="9"/>
  <c r="K25" i="9" s="1"/>
  <c r="N25" i="9" s="1"/>
  <c r="J25" i="9"/>
  <c r="I25" i="9"/>
  <c r="G25" i="9"/>
  <c r="E25" i="9"/>
  <c r="H29" i="9"/>
  <c r="F29" i="9"/>
  <c r="K29" i="9" s="1"/>
  <c r="N29" i="9" s="1"/>
  <c r="G29" i="9"/>
  <c r="E29" i="9"/>
  <c r="I29" i="9"/>
  <c r="J29" i="9"/>
  <c r="H24" i="8"/>
  <c r="E24" i="8"/>
  <c r="H7" i="8"/>
  <c r="I9" i="8"/>
  <c r="J13" i="9"/>
  <c r="F13" i="9"/>
  <c r="K13" i="9" s="1"/>
  <c r="N13" i="9" s="1"/>
  <c r="N10" i="9" s="1"/>
  <c r="L10" i="9" s="1"/>
  <c r="H13" i="9"/>
  <c r="G13" i="9"/>
  <c r="I13" i="9"/>
  <c r="G23" i="9"/>
  <c r="I23" i="9"/>
  <c r="H23" i="9"/>
  <c r="J23" i="9"/>
  <c r="F23" i="9"/>
  <c r="K23" i="9" s="1"/>
  <c r="N23" i="9" s="1"/>
  <c r="I20" i="9"/>
  <c r="G20" i="9"/>
  <c r="F20" i="9"/>
  <c r="K20" i="9" s="1"/>
  <c r="E20" i="9"/>
  <c r="J20" i="9"/>
  <c r="H20" i="9"/>
  <c r="I21" i="9"/>
  <c r="E21" i="9"/>
  <c r="J21" i="9"/>
  <c r="H21" i="9"/>
  <c r="G21" i="9"/>
  <c r="F21" i="9"/>
  <c r="K21" i="9" s="1"/>
  <c r="N21" i="9" s="1"/>
  <c r="D6" i="10"/>
  <c r="F34" i="8"/>
  <c r="F31" i="8"/>
  <c r="F26" i="8"/>
  <c r="F33" i="8"/>
  <c r="F32" i="8"/>
  <c r="F27" i="8"/>
  <c r="F35" i="8"/>
  <c r="F30" i="8"/>
  <c r="F28" i="8"/>
  <c r="F29" i="8"/>
  <c r="E13" i="8"/>
  <c r="H6" i="8"/>
  <c r="H21" i="8"/>
  <c r="H26" i="9"/>
  <c r="I26" i="9"/>
  <c r="E26" i="9"/>
  <c r="J26" i="9"/>
  <c r="G26" i="9"/>
  <c r="F26" i="9"/>
  <c r="K26" i="9" s="1"/>
  <c r="N26" i="9" s="1"/>
  <c r="H30" i="9"/>
  <c r="I30" i="9"/>
  <c r="G30" i="9"/>
  <c r="F30" i="9"/>
  <c r="K30" i="9" s="1"/>
  <c r="N30" i="9" s="1"/>
  <c r="E30" i="9"/>
  <c r="J30" i="9"/>
  <c r="C17" i="8"/>
  <c r="C16" i="8"/>
  <c r="C15" i="8"/>
  <c r="D3" i="10"/>
  <c r="E4" i="10" s="1"/>
  <c r="C19" i="8"/>
  <c r="C18" i="8"/>
  <c r="AR7" i="10" l="1"/>
  <c r="AP7" i="10"/>
  <c r="AO8" i="10" s="1"/>
  <c r="E5" i="10"/>
  <c r="E6" i="10" s="1"/>
  <c r="AR8" i="10" l="1"/>
  <c r="AP8" i="10"/>
  <c r="AO9" i="10" s="1"/>
  <c r="AP9" i="10" l="1"/>
  <c r="AO10" i="10" s="1"/>
  <c r="AR9" i="10"/>
  <c r="AR10" i="10" l="1"/>
  <c r="AP10" i="10"/>
  <c r="AO11" i="10" s="1"/>
  <c r="AP11" i="10" l="1"/>
  <c r="AO12" i="10" s="1"/>
  <c r="AR11" i="10"/>
  <c r="AP12" i="10" l="1"/>
  <c r="AO13" i="10" s="1"/>
  <c r="AR12" i="10"/>
  <c r="AP13" i="10" l="1"/>
  <c r="AO14" i="10" s="1"/>
  <c r="AR13" i="10"/>
  <c r="AP14" i="10" l="1"/>
  <c r="AO15" i="10" s="1"/>
  <c r="AR14" i="10"/>
  <c r="AR15" i="10" l="1"/>
  <c r="AP15" i="10"/>
  <c r="AO16" i="10" s="1"/>
  <c r="AR16" i="10" l="1"/>
  <c r="AP16" i="10"/>
  <c r="AO17" i="10" s="1"/>
  <c r="AP17" i="10" l="1"/>
  <c r="AO18" i="10" s="1"/>
  <c r="AR17" i="10"/>
  <c r="AR18" i="10" l="1"/>
  <c r="AP18" i="10"/>
  <c r="AO19" i="10" s="1"/>
  <c r="AR19" i="10" l="1"/>
  <c r="AP19" i="10"/>
  <c r="AO20" i="10" s="1"/>
  <c r="AR20" i="10" l="1"/>
  <c r="AP20" i="10"/>
  <c r="AO21" i="10" s="1"/>
  <c r="AP21" i="10" l="1"/>
  <c r="AO22" i="10" s="1"/>
  <c r="AR21" i="10"/>
  <c r="AR22" i="10" l="1"/>
  <c r="AP22" i="10"/>
  <c r="AO23" i="10" s="1"/>
  <c r="AR23" i="10" l="1"/>
  <c r="AP23" i="10"/>
  <c r="AO24" i="10" s="1"/>
  <c r="AP24" i="10" l="1"/>
  <c r="AO25" i="10" s="1"/>
  <c r="AR24" i="10"/>
  <c r="AP25" i="10" l="1"/>
  <c r="AO26" i="10" s="1"/>
  <c r="AR25" i="10"/>
  <c r="AR26" i="10" l="1"/>
  <c r="AP26" i="10"/>
  <c r="AO27" i="10" s="1"/>
  <c r="AR27" i="10" l="1"/>
  <c r="AP27" i="10"/>
  <c r="AO28" i="10" s="1"/>
  <c r="AR28" i="10" l="1"/>
  <c r="AP28" i="10"/>
  <c r="AO29" i="10" s="1"/>
  <c r="AP29" i="10" l="1"/>
  <c r="AO30" i="10" s="1"/>
  <c r="AR29" i="10"/>
  <c r="AP30" i="10" l="1"/>
  <c r="AO31" i="10" s="1"/>
  <c r="AR30" i="10"/>
  <c r="AP31" i="10" l="1"/>
  <c r="AO32" i="10" s="1"/>
  <c r="AR31" i="10"/>
  <c r="AR32" i="10" l="1"/>
  <c r="AP32" i="10"/>
  <c r="AO33" i="10" s="1"/>
  <c r="AP33" i="10" l="1"/>
  <c r="AO34" i="10" s="1"/>
  <c r="AR33" i="10"/>
  <c r="AR34" i="10" l="1"/>
  <c r="AP34" i="10"/>
  <c r="AO35" i="10" s="1"/>
  <c r="AP35" i="10" l="1"/>
  <c r="AO36" i="10" s="1"/>
  <c r="AR35" i="10"/>
  <c r="AP36" i="10" l="1"/>
  <c r="AO37" i="10" s="1"/>
  <c r="AR36" i="10"/>
  <c r="AP37" i="10" l="1"/>
  <c r="AO38" i="10" s="1"/>
  <c r="AR37" i="10"/>
  <c r="AR38" i="10" l="1"/>
  <c r="AP38" i="10"/>
  <c r="AO39" i="10" s="1"/>
  <c r="AP39" i="10" l="1"/>
  <c r="AO40" i="10" s="1"/>
  <c r="AR39" i="10"/>
  <c r="AR40" i="10" l="1"/>
  <c r="AP40" i="10"/>
  <c r="AO41" i="10" s="1"/>
  <c r="AP41" i="10" l="1"/>
  <c r="AO42" i="10" s="1"/>
  <c r="AR41" i="10"/>
  <c r="AR42" i="10" l="1"/>
  <c r="AP42" i="10"/>
  <c r="AO43" i="10" s="1"/>
  <c r="AP43" i="10" l="1"/>
  <c r="AO44" i="10" s="1"/>
  <c r="AR43" i="10"/>
  <c r="AR44" i="10" l="1"/>
  <c r="AP44" i="10"/>
  <c r="AO45" i="10" s="1"/>
  <c r="AP45" i="10" l="1"/>
  <c r="AO46" i="10" s="1"/>
  <c r="AR45" i="10"/>
  <c r="AR46" i="10" l="1"/>
  <c r="AP46" i="10"/>
  <c r="AO47" i="10" s="1"/>
  <c r="AR47" i="10" l="1"/>
  <c r="AP47" i="10"/>
  <c r="AO48" i="10" s="1"/>
  <c r="AR48" i="10" l="1"/>
  <c r="AP48" i="10"/>
  <c r="AO49" i="10" s="1"/>
  <c r="AP49" i="10" l="1"/>
  <c r="AO50" i="10" s="1"/>
  <c r="AR49" i="10"/>
  <c r="AR50" i="10" l="1"/>
  <c r="AP50" i="10"/>
  <c r="AO51" i="10" s="1"/>
  <c r="AP51" i="10" l="1"/>
  <c r="AO52" i="10" s="1"/>
  <c r="AR51" i="10"/>
  <c r="AR52" i="10" l="1"/>
  <c r="AP52" i="10"/>
  <c r="AO53" i="10" s="1"/>
  <c r="AP53" i="10" l="1"/>
  <c r="AO54" i="10" s="1"/>
  <c r="AR53" i="10"/>
  <c r="AP54" i="10" l="1"/>
  <c r="AO55" i="10" s="1"/>
  <c r="AR54" i="10"/>
  <c r="AP55" i="10" l="1"/>
  <c r="AO56" i="10" s="1"/>
  <c r="AR55" i="10"/>
  <c r="AR56" i="10" l="1"/>
  <c r="AP56" i="10"/>
  <c r="AO57" i="10" s="1"/>
  <c r="AP57" i="10" l="1"/>
  <c r="AO58" i="10" s="1"/>
  <c r="AR57" i="10"/>
  <c r="AP58" i="10" l="1"/>
  <c r="AO59" i="10" s="1"/>
  <c r="AR58" i="10"/>
  <c r="AP59" i="10" l="1"/>
  <c r="AO60" i="10" s="1"/>
  <c r="AR59" i="10"/>
  <c r="AP60" i="10" l="1"/>
  <c r="AO61" i="10" s="1"/>
  <c r="AR60" i="10"/>
  <c r="AP61" i="10" l="1"/>
  <c r="AO62" i="10" s="1"/>
  <c r="AR61" i="10"/>
  <c r="AP62" i="10" l="1"/>
  <c r="AO63" i="10" s="1"/>
  <c r="AR62" i="10"/>
  <c r="AP63" i="10" l="1"/>
  <c r="AO64" i="10" s="1"/>
  <c r="AR63" i="10"/>
  <c r="AP64" i="10" l="1"/>
  <c r="AO65" i="10" s="1"/>
  <c r="AR64" i="10"/>
  <c r="AP65" i="10" l="1"/>
  <c r="AO66" i="10" s="1"/>
  <c r="AR65" i="10"/>
  <c r="AP66" i="10" l="1"/>
  <c r="AO67" i="10" s="1"/>
  <c r="AR66" i="10"/>
  <c r="AP67" i="10" l="1"/>
  <c r="AO68" i="10" s="1"/>
  <c r="AR67" i="10"/>
  <c r="AP68" i="10" l="1"/>
  <c r="AO69" i="10" s="1"/>
  <c r="AR68" i="10"/>
  <c r="AP69" i="10" l="1"/>
  <c r="AO70" i="10" s="1"/>
  <c r="AR69" i="10"/>
  <c r="AP70" i="10" l="1"/>
  <c r="AO71" i="10" s="1"/>
  <c r="AR70" i="10"/>
  <c r="AP71" i="10" l="1"/>
  <c r="AO72" i="10" s="1"/>
  <c r="AR71" i="10"/>
  <c r="AP72" i="10" l="1"/>
  <c r="AO73" i="10" s="1"/>
  <c r="AR72" i="10"/>
  <c r="AP73" i="10" l="1"/>
  <c r="AO74" i="10" s="1"/>
  <c r="AR73" i="10"/>
  <c r="AP74" i="10" l="1"/>
  <c r="AO75" i="10" s="1"/>
  <c r="AR74" i="10"/>
  <c r="AP75" i="10" l="1"/>
  <c r="AO76" i="10" s="1"/>
  <c r="AR75" i="10"/>
  <c r="AP76" i="10" l="1"/>
  <c r="AO77" i="10" s="1"/>
  <c r="AR76" i="10"/>
  <c r="AP77" i="10" l="1"/>
  <c r="AO78" i="10" s="1"/>
  <c r="AR77" i="10"/>
  <c r="AP78" i="10" l="1"/>
  <c r="AO79" i="10" s="1"/>
  <c r="AR78" i="10"/>
  <c r="AP79" i="10" l="1"/>
  <c r="AO80" i="10" s="1"/>
  <c r="AR79" i="10"/>
  <c r="AP80" i="10" l="1"/>
  <c r="AO81" i="10" s="1"/>
  <c r="AR80" i="10"/>
  <c r="AP81" i="10" l="1"/>
  <c r="AO82" i="10" s="1"/>
  <c r="AR81" i="10"/>
  <c r="AP82" i="10" l="1"/>
  <c r="AO83" i="10" s="1"/>
  <c r="AR82" i="10"/>
  <c r="AP83" i="10" l="1"/>
  <c r="AO84" i="10" s="1"/>
  <c r="AR83" i="10"/>
  <c r="AP84" i="10" l="1"/>
  <c r="AO85" i="10" s="1"/>
  <c r="AR84" i="10"/>
  <c r="AP85" i="10" l="1"/>
  <c r="AO86" i="10" s="1"/>
  <c r="AR85" i="10"/>
  <c r="AP86" i="10" l="1"/>
  <c r="AO87" i="10" s="1"/>
  <c r="AR86" i="10"/>
  <c r="AR87" i="10" l="1"/>
  <c r="AP87" i="10"/>
  <c r="AO88" i="10" s="1"/>
  <c r="AR88" i="10" l="1"/>
  <c r="AP88" i="10"/>
  <c r="AO89" i="10" s="1"/>
  <c r="AR89" i="10" l="1"/>
  <c r="AP89" i="10"/>
  <c r="AO90" i="10" s="1"/>
  <c r="AP90" i="10" l="1"/>
  <c r="AO91" i="10" s="1"/>
  <c r="AR90" i="10"/>
  <c r="AP91" i="10" l="1"/>
  <c r="AO92" i="10" s="1"/>
  <c r="AR91" i="10"/>
  <c r="AR92" i="10" l="1"/>
  <c r="AP92" i="10"/>
  <c r="AO93" i="10" s="1"/>
  <c r="AR93" i="10" l="1"/>
  <c r="AP93" i="10"/>
  <c r="AO94" i="10" s="1"/>
  <c r="AP94" i="10" l="1"/>
  <c r="AO95" i="10" s="1"/>
  <c r="AR94" i="10"/>
  <c r="AR95" i="10" l="1"/>
  <c r="AP95" i="10"/>
  <c r="AO96" i="10" s="1"/>
  <c r="AR96" i="10" l="1"/>
  <c r="AP96" i="10"/>
  <c r="AO97" i="10" s="1"/>
  <c r="AR97" i="10" l="1"/>
  <c r="AP97" i="10"/>
  <c r="AO98" i="10" s="1"/>
  <c r="AR98" i="10" l="1"/>
  <c r="AP98" i="10"/>
  <c r="AO99" i="10" s="1"/>
  <c r="AR99" i="10" l="1"/>
  <c r="AP99" i="10"/>
  <c r="AO100" i="10" s="1"/>
  <c r="AP100" i="10" l="1"/>
  <c r="AO101" i="10" s="1"/>
  <c r="AR100" i="10"/>
  <c r="AR101" i="10" l="1"/>
  <c r="AP101" i="10"/>
  <c r="AO102" i="10" s="1"/>
  <c r="AR102" i="10" l="1"/>
  <c r="AP102" i="10"/>
  <c r="AO103" i="10" s="1"/>
  <c r="AR103" i="10" l="1"/>
  <c r="AP103" i="10"/>
  <c r="AO104" i="10" s="1"/>
  <c r="AP104" i="10" l="1"/>
  <c r="AO105" i="10" s="1"/>
  <c r="AR104" i="10"/>
  <c r="AR105" i="10" l="1"/>
  <c r="AP105" i="10"/>
  <c r="AO106" i="10" s="1"/>
  <c r="AR106" i="10" l="1"/>
  <c r="AP106" i="10"/>
  <c r="AO107" i="10" s="1"/>
  <c r="AP107" i="10" l="1"/>
  <c r="AO108" i="10" s="1"/>
  <c r="AR107" i="10"/>
  <c r="AR108" i="10" l="1"/>
  <c r="AP108" i="10"/>
  <c r="AO109" i="10" s="1"/>
  <c r="AR109" i="10" l="1"/>
  <c r="AP109" i="10"/>
  <c r="AO110" i="10" s="1"/>
  <c r="AR110" i="10" l="1"/>
  <c r="AP110" i="10"/>
  <c r="AO111" i="10" s="1"/>
  <c r="AP111" i="10" l="1"/>
  <c r="AO112" i="10" s="1"/>
  <c r="AR111" i="10"/>
  <c r="AR112" i="10" l="1"/>
  <c r="AP112" i="10"/>
  <c r="AO113" i="10" s="1"/>
  <c r="AP113" i="10" l="1"/>
  <c r="AO114" i="10" s="1"/>
  <c r="AR113" i="10"/>
  <c r="AP114" i="10" l="1"/>
  <c r="AO115" i="10" s="1"/>
  <c r="AR114" i="10"/>
  <c r="AP115" i="10" l="1"/>
  <c r="AO116" i="10" s="1"/>
  <c r="AR115" i="10"/>
  <c r="AR116" i="10" l="1"/>
  <c r="AP116" i="10"/>
  <c r="AO117" i="10" s="1"/>
  <c r="AR117" i="10" l="1"/>
  <c r="AP117" i="10"/>
  <c r="AO118" i="10" s="1"/>
  <c r="AR118" i="10" l="1"/>
  <c r="AP118" i="10"/>
  <c r="AO119" i="10" s="1"/>
  <c r="AP119" i="10" l="1"/>
  <c r="AO120" i="10" s="1"/>
  <c r="AR119" i="10"/>
  <c r="AR120" i="10" l="1"/>
  <c r="AP120" i="10"/>
  <c r="AO121" i="10" s="1"/>
  <c r="AR121" i="10" l="1"/>
  <c r="AP121" i="10"/>
  <c r="AO122" i="10" s="1"/>
  <c r="AP122" i="10" l="1"/>
  <c r="AO123" i="10" s="1"/>
  <c r="AR122" i="10"/>
  <c r="AP123" i="10" l="1"/>
  <c r="AO124" i="10" s="1"/>
  <c r="AR123" i="10"/>
  <c r="AR124" i="10" l="1"/>
  <c r="AP124" i="10"/>
  <c r="AO125" i="10" s="1"/>
  <c r="AR125" i="10" l="1"/>
  <c r="AP125" i="10"/>
  <c r="AO126" i="10" s="1"/>
  <c r="AR126" i="10" l="1"/>
  <c r="AP126" i="10"/>
  <c r="AO127" i="10" s="1"/>
  <c r="AP127" i="10" l="1"/>
  <c r="AO128" i="10" s="1"/>
  <c r="AR127" i="10"/>
  <c r="AR128" i="10" l="1"/>
  <c r="AP128" i="10"/>
  <c r="AO129" i="10" s="1"/>
  <c r="AR129" i="10" l="1"/>
  <c r="AP129" i="10"/>
  <c r="AO130" i="10" s="1"/>
  <c r="AP130" i="10" l="1"/>
  <c r="AO131" i="10" s="1"/>
  <c r="AR130" i="10"/>
  <c r="AP131" i="10" l="1"/>
  <c r="AO132" i="10" s="1"/>
  <c r="AR131" i="10"/>
  <c r="AR132" i="10" l="1"/>
  <c r="AP132" i="10"/>
  <c r="AO133" i="10" s="1"/>
  <c r="AR133" i="10" l="1"/>
  <c r="AP133" i="10"/>
  <c r="AO134" i="10" s="1"/>
  <c r="AR134" i="10" l="1"/>
  <c r="AP134" i="10"/>
  <c r="AO135" i="10" s="1"/>
  <c r="AP135" i="10" l="1"/>
  <c r="AR135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G2" authorId="0" shapeId="0" xr:uid="{00000000-0006-0000-0F00-000001000000}">
      <text>
        <r>
          <rPr>
            <sz val="10"/>
            <rFont val="SimSun"/>
          </rPr>
          <t xml:space="preserve">Jose Aguero:
Falta incluir Prepaid, y Mobile MT
</t>
        </r>
      </text>
    </comment>
  </commentList>
</comments>
</file>

<file path=xl/sharedStrings.xml><?xml version="1.0" encoding="utf-8"?>
<sst xmlns="http://schemas.openxmlformats.org/spreadsheetml/2006/main" count="2004" uniqueCount="553">
  <si>
    <t>Vertinimas #</t>
  </si>
  <si>
    <t>Vidurkis/Suma</t>
  </si>
  <si>
    <t>Data</t>
  </si>
  <si>
    <t>Skambinančiojo numeris</t>
  </si>
  <si>
    <t>Konsultanto vardas</t>
  </si>
  <si>
    <t>Du "Svarbus" neigiami?</t>
  </si>
  <si>
    <t>Kritinė klaida?</t>
  </si>
  <si>
    <t>Neigiamai įvertintas skambutis?</t>
  </si>
  <si>
    <t>Galutinis rezultatas</t>
  </si>
  <si>
    <t>#</t>
  </si>
  <si>
    <t>Kategorija</t>
  </si>
  <si>
    <t>Vertinimo kriterijus</t>
  </si>
  <si>
    <t>Kriterijaus lygis bei galimi atsakymai</t>
  </si>
  <si>
    <t>Taškai</t>
  </si>
  <si>
    <t>Atsakymai</t>
  </si>
  <si>
    <t>Bendravimo įgūdžiai</t>
  </si>
  <si>
    <t>Konsultantas naudojo numatytą VV prisistatymą ir atsisveikinimą</t>
  </si>
  <si>
    <t>Taip</t>
  </si>
  <si>
    <t>Tinkamai naudojama skambučio užlaikymo technika viso skambučio metu - klientas informuojamas apie užlaikymo kilmę, tikėtiną trukmę; jei konsultantas užtruko ilgiau nei žadėjo - atsiprašo kliento ir paprašo papildomo laiko užduočiai atlikti; sugrįžęs padėkoja už laukimą</t>
  </si>
  <si>
    <t>Ne</t>
  </si>
  <si>
    <t>Konsultantas laikėsi kalbos etiketo, naudojo mandagumo žodžius/frazes, pakili balso intonacija išlaikyta viso pokalbio metu, viso pokalbio metu buvo laikomasi lietuvių kalbos kultūros, Nenaudojo techninio/profesinio/buitinio žargono, mažybinių žodelių</t>
  </si>
  <si>
    <t>Profesionalumas, kompetencijos lygis</t>
  </si>
  <si>
    <t>Konsultantas viso pokalbio metu rodė norą pats išspręsti problemą/užklausą - nenukreipė į klientų aptarnavimo skyrių ar skambučio į VV, jei galėjo problemą išspręsti pats</t>
  </si>
  <si>
    <t>Konsultantas pateikė teisingą problemos sprendimo būdą gebėjo greitai ir išsamiai pateikti teisingus atsakymus, surasti ir pateikti geriausius problemų sprendimo būdus</t>
  </si>
  <si>
    <t>Konsultantas įsitikino, kad klientas pilnai suprato informaciją bei tolimesnius veiksmus (jei tokių yra); konsultantas pateikė papildomą informaciją, taip išvengdamas pasikartojančių kliento skambučių</t>
  </si>
  <si>
    <t>Darbo instrukcijų, taisyklių laikymasis</t>
  </si>
  <si>
    <t>Konsultantas teisingai užregistravo (perdavė kitam skyriui) kliento kreipimąsi (vadovaujantis VV taisyklėmis)</t>
  </si>
  <si>
    <t>Prieštaravimų, konfliktinių situacijų valdymas</t>
  </si>
  <si>
    <t>Konsultantas kontroliavo pokalbį - neleido įsiplieksti konfliktui; sugebėjo nuraminti klientą</t>
  </si>
  <si>
    <t>Konsultantas profesionaliai valdė savo emocijas, asmenines nuotaikas - pokalbio metu nebuvo asmeniškumų</t>
  </si>
  <si>
    <t>Komentarai</t>
  </si>
  <si>
    <t>Kritinių klaidų komentarai</t>
  </si>
  <si>
    <t>Bendros pastabos</t>
  </si>
  <si>
    <t>Rezultatai pagal kategoriją</t>
  </si>
  <si>
    <t>Atsakymų variantai</t>
  </si>
  <si>
    <t>-</t>
  </si>
  <si>
    <t>Evaluation Form</t>
  </si>
  <si>
    <t>Version</t>
  </si>
  <si>
    <t>You are working with an Online Form, please refer to the FbON tab</t>
  </si>
  <si>
    <t>Employee</t>
  </si>
  <si>
    <t>Evaluation Date</t>
  </si>
  <si>
    <t>FCR?</t>
  </si>
  <si>
    <t>Score</t>
  </si>
  <si>
    <t>Recording</t>
  </si>
  <si>
    <t>Wow Call?</t>
  </si>
  <si>
    <t>Reference</t>
  </si>
  <si>
    <t>Fatal Error?</t>
  </si>
  <si>
    <t>Question</t>
  </si>
  <si>
    <t>Answer</t>
  </si>
  <si>
    <t>#ERROR!</t>
  </si>
  <si>
    <t>General Comments</t>
  </si>
  <si>
    <t>Product</t>
  </si>
  <si>
    <t>EMEA Consumer Services</t>
  </si>
  <si>
    <t>Form Type</t>
  </si>
  <si>
    <t>Monitoring Form</t>
  </si>
  <si>
    <t>v3b</t>
  </si>
  <si>
    <t xml:space="preserve">Priority        </t>
  </si>
  <si>
    <t>Points</t>
  </si>
  <si>
    <t>Critical</t>
  </si>
  <si>
    <t>High</t>
  </si>
  <si>
    <t>Medium</t>
  </si>
  <si>
    <t>Low</t>
  </si>
  <si>
    <t>Info</t>
  </si>
  <si>
    <t>Test</t>
  </si>
  <si>
    <t>Zero</t>
  </si>
  <si>
    <t>Points Gained</t>
  </si>
  <si>
    <t>Points Possible</t>
  </si>
  <si>
    <t>Exceed extra points</t>
  </si>
  <si>
    <t>Section</t>
  </si>
  <si>
    <t>Answer Scheme</t>
  </si>
  <si>
    <t>Type</t>
  </si>
  <si>
    <t>Max Value</t>
  </si>
  <si>
    <t>Answers</t>
  </si>
  <si>
    <t>Value</t>
  </si>
  <si>
    <t>Color</t>
  </si>
  <si>
    <t>#REF!</t>
  </si>
  <si>
    <t>Yes</t>
  </si>
  <si>
    <t>n/a</t>
  </si>
  <si>
    <t>Displayed expert product knowledge</t>
  </si>
  <si>
    <t>20 M:Yes-No-NA</t>
  </si>
  <si>
    <t>Followed correct escalation procedure</t>
  </si>
  <si>
    <t>a</t>
  </si>
  <si>
    <t>Form Sections</t>
  </si>
  <si>
    <t>Q/Sec</t>
  </si>
  <si>
    <t>St/Sec</t>
  </si>
  <si>
    <t>Weight</t>
  </si>
  <si>
    <t>Response Type</t>
  </si>
  <si>
    <t>Site</t>
  </si>
  <si>
    <t>Department</t>
  </si>
  <si>
    <t>Observers' Number</t>
  </si>
  <si>
    <t>Week limits</t>
  </si>
  <si>
    <t>Week code</t>
  </si>
  <si>
    <t>Month Number</t>
  </si>
  <si>
    <t>Wow Call</t>
  </si>
  <si>
    <t>Positions</t>
  </si>
  <si>
    <t>Source Type</t>
  </si>
  <si>
    <t>Fatal Error Code</t>
  </si>
  <si>
    <t>Calculated Parameters</t>
  </si>
  <si>
    <t>Form Core Schemes</t>
  </si>
  <si>
    <t>respA</t>
  </si>
  <si>
    <t>respB</t>
  </si>
  <si>
    <t>respC</t>
  </si>
  <si>
    <t>respD</t>
  </si>
  <si>
    <t>respE</t>
  </si>
  <si>
    <t>respF</t>
  </si>
  <si>
    <t>respG</t>
  </si>
  <si>
    <t>respH</t>
  </si>
  <si>
    <t>SiteList</t>
  </si>
  <si>
    <t>Sequence</t>
  </si>
  <si>
    <t>SiteCd</t>
  </si>
  <si>
    <t>SiteList2</t>
  </si>
  <si>
    <t>Corporation</t>
  </si>
  <si>
    <t>City</t>
  </si>
  <si>
    <t>Country</t>
  </si>
  <si>
    <t>Country2</t>
  </si>
  <si>
    <t>Loc02</t>
  </si>
  <si>
    <t>Loc03</t>
  </si>
  <si>
    <t>Loc04</t>
  </si>
  <si>
    <t>Loc05</t>
  </si>
  <si>
    <t>Loc06</t>
  </si>
  <si>
    <t>Column1</t>
  </si>
  <si>
    <t>Product Name</t>
  </si>
  <si>
    <t>Work Type</t>
  </si>
  <si>
    <t>Brand</t>
  </si>
  <si>
    <t>Area/Region</t>
  </si>
  <si>
    <t>Focus</t>
  </si>
  <si>
    <t>Status</t>
  </si>
  <si>
    <t>ObsNum</t>
  </si>
  <si>
    <t>WeekCd</t>
  </si>
  <si>
    <t>MonCd</t>
  </si>
  <si>
    <t>PosCd</t>
  </si>
  <si>
    <t>SrcCd</t>
  </si>
  <si>
    <t>FECd</t>
  </si>
  <si>
    <t>Sections</t>
  </si>
  <si>
    <t>Online Sections</t>
  </si>
  <si>
    <t>Offline Sections</t>
  </si>
  <si>
    <t>FormType</t>
  </si>
  <si>
    <t>Online</t>
  </si>
  <si>
    <t>Offline</t>
  </si>
  <si>
    <t>Section 1</t>
  </si>
  <si>
    <t>E</t>
  </si>
  <si>
    <t>Exceed</t>
  </si>
  <si>
    <t>WUAO</t>
  </si>
  <si>
    <t>AROC</t>
  </si>
  <si>
    <t>WU</t>
  </si>
  <si>
    <t>Western Union</t>
  </si>
  <si>
    <t>Manila</t>
  </si>
  <si>
    <t>The Phillipines</t>
  </si>
  <si>
    <t>00</t>
  </si>
  <si>
    <t>Global Template</t>
  </si>
  <si>
    <t>Americas</t>
  </si>
  <si>
    <t>Other</t>
  </si>
  <si>
    <t>Inactive</t>
  </si>
  <si>
    <t>01</t>
  </si>
  <si>
    <t>No</t>
  </si>
  <si>
    <t>Quality Assurance</t>
  </si>
  <si>
    <t>QA</t>
  </si>
  <si>
    <t>W</t>
  </si>
  <si>
    <t>Fatal Error</t>
  </si>
  <si>
    <t>EvCount</t>
  </si>
  <si>
    <t>Customer Satisfaction</t>
  </si>
  <si>
    <t>CS</t>
  </si>
  <si>
    <t>Written Communication</t>
  </si>
  <si>
    <t>WC</t>
  </si>
  <si>
    <t>Section 2</t>
  </si>
  <si>
    <t>WUEU</t>
  </si>
  <si>
    <t>EUROC</t>
  </si>
  <si>
    <t>Vilnius</t>
  </si>
  <si>
    <t>Lithuania</t>
  </si>
  <si>
    <t>Agent Support</t>
  </si>
  <si>
    <t>Agent</t>
  </si>
  <si>
    <t>Active</t>
  </si>
  <si>
    <t>02</t>
  </si>
  <si>
    <t>Team Leader</t>
  </si>
  <si>
    <t>TL</t>
  </si>
  <si>
    <t>Vendor</t>
  </si>
  <si>
    <t>V</t>
  </si>
  <si>
    <t>DSAheight</t>
  </si>
  <si>
    <t>Process</t>
  </si>
  <si>
    <t>PRO</t>
  </si>
  <si>
    <t>Demonstrated appropriate voice, tone, pace, and clarity</t>
  </si>
  <si>
    <t>22 M:E-Yes-No</t>
  </si>
  <si>
    <t>Adhere to structure</t>
  </si>
  <si>
    <t>28 L:Yes-No-NA</t>
  </si>
  <si>
    <t>Section 3</t>
  </si>
  <si>
    <t>WULA</t>
  </si>
  <si>
    <t>LAROC</t>
  </si>
  <si>
    <t>San Jose</t>
  </si>
  <si>
    <t>Costa Rica</t>
  </si>
  <si>
    <t>APAC</t>
  </si>
  <si>
    <t>03</t>
  </si>
  <si>
    <t>OT</t>
  </si>
  <si>
    <t>DSBheight</t>
  </si>
  <si>
    <t>Product Specific</t>
  </si>
  <si>
    <t>PS</t>
  </si>
  <si>
    <t>Customer Interaction</t>
  </si>
  <si>
    <t>CI</t>
  </si>
  <si>
    <t>Utilized appropriate Hold technique</t>
  </si>
  <si>
    <t>Communicated appropriately</t>
  </si>
  <si>
    <t>Section 4</t>
  </si>
  <si>
    <t>WUMX</t>
  </si>
  <si>
    <t>MROC</t>
  </si>
  <si>
    <t>Mexico City</t>
  </si>
  <si>
    <t>Mexico</t>
  </si>
  <si>
    <t>Convenience Pay</t>
  </si>
  <si>
    <t>Payments</t>
  </si>
  <si>
    <t>Blended</t>
  </si>
  <si>
    <t>04</t>
  </si>
  <si>
    <t>MultiMonth</t>
  </si>
  <si>
    <t>Used correct scripting</t>
  </si>
  <si>
    <t>24 M:Yes-No</t>
  </si>
  <si>
    <t>Use courtesy words and phrases</t>
  </si>
  <si>
    <t>Section 5</t>
  </si>
  <si>
    <t>NA</t>
  </si>
  <si>
    <t>WUBA</t>
  </si>
  <si>
    <t>WU Argentina</t>
  </si>
  <si>
    <t>Buenos Aires</t>
  </si>
  <si>
    <t>Argentina</t>
  </si>
  <si>
    <t>D2B</t>
  </si>
  <si>
    <t>05</t>
  </si>
  <si>
    <t>Utilized correct conference and/or transfer procedure</t>
  </si>
  <si>
    <t>Select correct template</t>
  </si>
  <si>
    <t>04 C:Yes-No-NA</t>
  </si>
  <si>
    <t>Section 6</t>
  </si>
  <si>
    <t>WUBS</t>
  </si>
  <si>
    <t>WU Business Solutions</t>
  </si>
  <si>
    <t>Victoria, BC</t>
  </si>
  <si>
    <t>Canada</t>
  </si>
  <si>
    <t>GSI</t>
  </si>
  <si>
    <t>Consumer</t>
  </si>
  <si>
    <t>06</t>
  </si>
  <si>
    <t>MultiYear</t>
  </si>
  <si>
    <t>Demonstrated call control</t>
  </si>
  <si>
    <t>Customize template accordingly</t>
  </si>
  <si>
    <t>Section 7</t>
  </si>
  <si>
    <t>DVSD</t>
  </si>
  <si>
    <t>DataVimenca</t>
  </si>
  <si>
    <t>Santo Domingo</t>
  </si>
  <si>
    <t>The Dominican Republic</t>
  </si>
  <si>
    <t>IAS T2</t>
  </si>
  <si>
    <t>EMEA</t>
  </si>
  <si>
    <t>07</t>
  </si>
  <si>
    <t>Followed requested process steps</t>
  </si>
  <si>
    <t>08 C:Yes-No</t>
  </si>
  <si>
    <t>Section 8</t>
  </si>
  <si>
    <t>MICA</t>
  </si>
  <si>
    <t>Minacs</t>
  </si>
  <si>
    <t>Loyalty</t>
  </si>
  <si>
    <t>08</t>
  </si>
  <si>
    <t>Demonstrated ownership</t>
  </si>
  <si>
    <t>Documented as required</t>
  </si>
  <si>
    <t>12 H:Yes-No-NA</t>
  </si>
  <si>
    <t>Section 9</t>
  </si>
  <si>
    <t>MIMO</t>
  </si>
  <si>
    <t>Minacs-Moncton</t>
  </si>
  <si>
    <t>Moncton, NB</t>
  </si>
  <si>
    <t>LPT OV</t>
  </si>
  <si>
    <t>OV</t>
  </si>
  <si>
    <t>09</t>
  </si>
  <si>
    <t>Demonstrated empathy</t>
  </si>
  <si>
    <t>Input information correctly</t>
  </si>
  <si>
    <t>Section 10</t>
  </si>
  <si>
    <t>MIMI</t>
  </si>
  <si>
    <t>Minacs-Mississauga</t>
  </si>
  <si>
    <t>Mississauga, ON</t>
  </si>
  <si>
    <t>LPT Vigo</t>
  </si>
  <si>
    <t>Vigo</t>
  </si>
  <si>
    <t>10</t>
  </si>
  <si>
    <t>Personalized interaction with customer</t>
  </si>
  <si>
    <t>18 M:E-Yes-No-NA</t>
  </si>
  <si>
    <t>Used tools correctly</t>
  </si>
  <si>
    <t>16 H:Yes-No</t>
  </si>
  <si>
    <t>MIHA</t>
  </si>
  <si>
    <t>Minacs-Hackensack</t>
  </si>
  <si>
    <t>Hackensack, NJ</t>
  </si>
  <si>
    <t>USA</t>
  </si>
  <si>
    <t>MTBP Agent Services</t>
  </si>
  <si>
    <t>11</t>
  </si>
  <si>
    <t>Used courtesy words and phrases</t>
  </si>
  <si>
    <t>Resolved contact issue</t>
  </si>
  <si>
    <t>TPAR</t>
  </si>
  <si>
    <t>TP-Argentina</t>
  </si>
  <si>
    <t>Teleperformance</t>
  </si>
  <si>
    <t>MTBP Consumer</t>
  </si>
  <si>
    <t>12</t>
  </si>
  <si>
    <t>Demonstrated and maintained professionalism, respect and diversity</t>
  </si>
  <si>
    <t>TPCR</t>
  </si>
  <si>
    <t>TP-Costa Rica</t>
  </si>
  <si>
    <t>MTPC Tech Support</t>
  </si>
  <si>
    <t>13</t>
  </si>
  <si>
    <t>Listened effectively</t>
  </si>
  <si>
    <t>TPEG</t>
  </si>
  <si>
    <t>TP-Egypt</t>
  </si>
  <si>
    <t>Cairo</t>
  </si>
  <si>
    <t>Egypt</t>
  </si>
  <si>
    <t>OV Agent Services</t>
  </si>
  <si>
    <t>14</t>
  </si>
  <si>
    <t>Demonstrated eagerness and positive attitude</t>
  </si>
  <si>
    <t>14 H:E-Yes-No</t>
  </si>
  <si>
    <t>TPGR</t>
  </si>
  <si>
    <t>TP-Greece</t>
  </si>
  <si>
    <t>Athens</t>
  </si>
  <si>
    <t>Greece</t>
  </si>
  <si>
    <t>OV Customer Service</t>
  </si>
  <si>
    <t>15</t>
  </si>
  <si>
    <t>Summarized call/ Recap</t>
  </si>
  <si>
    <t>TPMR</t>
  </si>
  <si>
    <t>TP-Monterrey</t>
  </si>
  <si>
    <t>Monterrey</t>
  </si>
  <si>
    <t>Paymap CS</t>
  </si>
  <si>
    <t>16</t>
  </si>
  <si>
    <t>Identified call reason and asked relevant questions</t>
  </si>
  <si>
    <t>TPOG</t>
  </si>
  <si>
    <t>TP-Ogden</t>
  </si>
  <si>
    <t>Ogden, UT</t>
  </si>
  <si>
    <t>PrePay</t>
  </si>
  <si>
    <t>17</t>
  </si>
  <si>
    <t>Utilized tools correctly</t>
  </si>
  <si>
    <t>TTAR</t>
  </si>
  <si>
    <t>Teletech-Buenos Aires</t>
  </si>
  <si>
    <t>Teletech</t>
  </si>
  <si>
    <t>Quick Collect</t>
  </si>
  <si>
    <t>18</t>
  </si>
  <si>
    <t>TVMX</t>
  </si>
  <si>
    <t>Telvista</t>
  </si>
  <si>
    <t>RMO Agent Services</t>
  </si>
  <si>
    <t>19</t>
  </si>
  <si>
    <t>Adhered to policies and procedures</t>
  </si>
  <si>
    <t>Type your product question here or delete this cell content</t>
  </si>
  <si>
    <t>Select your answer scheme here or delete this cell content</t>
  </si>
  <si>
    <t>TVML</t>
  </si>
  <si>
    <t>Telvista-Mexicali</t>
  </si>
  <si>
    <t>Mexicali</t>
  </si>
  <si>
    <t>RMO Consumer</t>
  </si>
  <si>
    <t>20</t>
  </si>
  <si>
    <t>TVMC</t>
  </si>
  <si>
    <t>Telvista-Mexico City</t>
  </si>
  <si>
    <t>RMO Tech Support</t>
  </si>
  <si>
    <t>21</t>
  </si>
  <si>
    <t>Resolved call issue</t>
  </si>
  <si>
    <t>VXMK</t>
  </si>
  <si>
    <t>VXI-Makati</t>
  </si>
  <si>
    <t>VXI</t>
  </si>
  <si>
    <t>Makati</t>
  </si>
  <si>
    <t>Telegiro</t>
  </si>
  <si>
    <t>22</t>
  </si>
  <si>
    <t>VXSH</t>
  </si>
  <si>
    <t>VXI-Shanghai</t>
  </si>
  <si>
    <t>Shanghai</t>
  </si>
  <si>
    <t>China</t>
  </si>
  <si>
    <t>TMT</t>
  </si>
  <si>
    <t>23</t>
  </si>
  <si>
    <t>UDFN</t>
  </si>
  <si>
    <t>Undefined</t>
  </si>
  <si>
    <t>TMT Validation</t>
  </si>
  <si>
    <t>24</t>
  </si>
  <si>
    <t>SOSE</t>
  </si>
  <si>
    <t>South Seas</t>
  </si>
  <si>
    <t>Denver, CO</t>
  </si>
  <si>
    <t>Vigo CS</t>
  </si>
  <si>
    <t>25</t>
  </si>
  <si>
    <t>TCEU</t>
  </si>
  <si>
    <t>Transcom</t>
  </si>
  <si>
    <t>Latvia-Lithuania</t>
  </si>
  <si>
    <t>Vigo Directo</t>
  </si>
  <si>
    <t>26</t>
  </si>
  <si>
    <t>TCLA</t>
  </si>
  <si>
    <t>Transcom-Riga</t>
  </si>
  <si>
    <t>Riga</t>
  </si>
  <si>
    <t>Latvia</t>
  </si>
  <si>
    <t>WU.com USA/Canada</t>
  </si>
  <si>
    <t>27</t>
  </si>
  <si>
    <t>TCVN</t>
  </si>
  <si>
    <t>Transcom-Vilnius</t>
  </si>
  <si>
    <t>SAM</t>
  </si>
  <si>
    <t>28</t>
  </si>
  <si>
    <t>Core Product</t>
  </si>
  <si>
    <t>29</t>
  </si>
  <si>
    <t>Compliance</t>
  </si>
  <si>
    <t>30</t>
  </si>
  <si>
    <t>OV/Vigo IAS</t>
  </si>
  <si>
    <t>31</t>
  </si>
  <si>
    <t>WUFSI Legacy</t>
  </si>
  <si>
    <t>32</t>
  </si>
  <si>
    <t>DOSQ</t>
  </si>
  <si>
    <t>33</t>
  </si>
  <si>
    <t>Paymap EC (Non-Global Form)</t>
  </si>
  <si>
    <t>34</t>
  </si>
  <si>
    <t>LACA CSC</t>
  </si>
  <si>
    <t>35</t>
  </si>
  <si>
    <t>Consumer Protection</t>
  </si>
  <si>
    <t>36</t>
  </si>
  <si>
    <t>SpeedPay</t>
  </si>
  <si>
    <t>37</t>
  </si>
  <si>
    <t>Quick Collect Support</t>
  </si>
  <si>
    <t>38</t>
  </si>
  <si>
    <t>WEB Technical</t>
  </si>
  <si>
    <t>39</t>
  </si>
  <si>
    <t>Quick Cash</t>
  </si>
  <si>
    <t>40</t>
  </si>
  <si>
    <t>Compliance Calling Program</t>
  </si>
  <si>
    <t>41</t>
  </si>
  <si>
    <t>NAS</t>
  </si>
  <si>
    <t>42</t>
  </si>
  <si>
    <t>Banks Requests Services</t>
  </si>
  <si>
    <t>43</t>
  </si>
  <si>
    <t>MTBP Consumer (Non Global Form)</t>
  </si>
  <si>
    <t>44</t>
  </si>
  <si>
    <t>TMT (Non Global Form)</t>
  </si>
  <si>
    <t>45</t>
  </si>
  <si>
    <t>WEB Technical (Non Global Form)</t>
  </si>
  <si>
    <t>46</t>
  </si>
  <si>
    <t>APAC Loyalty</t>
  </si>
  <si>
    <t>47</t>
  </si>
  <si>
    <t>APAC WU.com Validation</t>
  </si>
  <si>
    <t>48</t>
  </si>
  <si>
    <t>APAC Agent Services</t>
  </si>
  <si>
    <t>49</t>
  </si>
  <si>
    <t>APAC Consumer Services</t>
  </si>
  <si>
    <t>50</t>
  </si>
  <si>
    <t>TSC Help Desk</t>
  </si>
  <si>
    <t>51</t>
  </si>
  <si>
    <t>IAS T1</t>
  </si>
  <si>
    <t>52</t>
  </si>
  <si>
    <t>MROC Tech Support</t>
  </si>
  <si>
    <t>53</t>
  </si>
  <si>
    <t>Courtesy Call Back</t>
  </si>
  <si>
    <t>54</t>
  </si>
  <si>
    <t>Paymap EC</t>
  </si>
  <si>
    <t>55</t>
  </si>
  <si>
    <t>WURSS</t>
  </si>
  <si>
    <t>56</t>
  </si>
  <si>
    <t>Core Payments</t>
  </si>
  <si>
    <t>57</t>
  </si>
  <si>
    <t>Conversions and Activations</t>
  </si>
  <si>
    <t>58</t>
  </si>
  <si>
    <t>EMEA WU.com</t>
  </si>
  <si>
    <t>59</t>
  </si>
  <si>
    <t>APAC Agent Services Inbox</t>
  </si>
  <si>
    <t>60</t>
  </si>
  <si>
    <t>Vigo Customer Service MB</t>
  </si>
  <si>
    <t>61</t>
  </si>
  <si>
    <t>OV Customer Service MB</t>
  </si>
  <si>
    <t>62</t>
  </si>
  <si>
    <t>WURSS BO</t>
  </si>
  <si>
    <t>63</t>
  </si>
  <si>
    <t>Correspondence Mail Rack</t>
  </si>
  <si>
    <t>64</t>
  </si>
  <si>
    <t>Correspondence Miscellaneous</t>
  </si>
  <si>
    <t>65</t>
  </si>
  <si>
    <t>TMT Queue</t>
  </si>
  <si>
    <t>66</t>
  </si>
  <si>
    <t>Trace Desk</t>
  </si>
  <si>
    <t>67</t>
  </si>
  <si>
    <t>Loyalty MB</t>
  </si>
  <si>
    <t>68</t>
  </si>
  <si>
    <t>QQC Help Desk</t>
  </si>
  <si>
    <t>69</t>
  </si>
  <si>
    <t>Web Chat</t>
  </si>
  <si>
    <t>70</t>
  </si>
  <si>
    <t>Web Email</t>
  </si>
  <si>
    <t>71</t>
  </si>
  <si>
    <t>IAS Agent Escalation MB</t>
  </si>
  <si>
    <t>72</t>
  </si>
  <si>
    <t>IAS T1 MB</t>
  </si>
  <si>
    <t>73</t>
  </si>
  <si>
    <t>GCAPP NPC</t>
  </si>
  <si>
    <t>74</t>
  </si>
  <si>
    <t>GCAPP Agent Fraud</t>
  </si>
  <si>
    <t>75</t>
  </si>
  <si>
    <t>GCAPP Law Enforcement</t>
  </si>
  <si>
    <t>76</t>
  </si>
  <si>
    <t>APAC Consumer Services Inbox</t>
  </si>
  <si>
    <t>77</t>
  </si>
  <si>
    <t>OV/Vigo Agent Services BO</t>
  </si>
  <si>
    <t>OV/Vigo</t>
  </si>
  <si>
    <t>78</t>
  </si>
  <si>
    <t>OV/Vigo Tech Support BO</t>
  </si>
  <si>
    <t>79</t>
  </si>
  <si>
    <t>LPT OV/Vigo Queue</t>
  </si>
  <si>
    <t>80</t>
  </si>
  <si>
    <t>LPT OV/Vigo MB</t>
  </si>
  <si>
    <t>81</t>
  </si>
  <si>
    <t>OV/Vigo IAS MB</t>
  </si>
  <si>
    <t>82</t>
  </si>
  <si>
    <t>OV/Vigo Independent Agents Facsys</t>
  </si>
  <si>
    <t>83</t>
  </si>
  <si>
    <t>Global Offline Template</t>
  </si>
  <si>
    <t>84</t>
  </si>
  <si>
    <t>APAC Mobile MT</t>
  </si>
  <si>
    <t>85</t>
  </si>
  <si>
    <t>APAC D2B</t>
  </si>
  <si>
    <t>86</t>
  </si>
  <si>
    <t>Phoneout</t>
  </si>
  <si>
    <t>87</t>
  </si>
  <si>
    <t>Mexmo</t>
  </si>
  <si>
    <t>88</t>
  </si>
  <si>
    <t>International Customer Service Desk</t>
  </si>
  <si>
    <t>89</t>
  </si>
  <si>
    <t>EMEA Consumer Services Inbox</t>
  </si>
  <si>
    <t>90</t>
  </si>
  <si>
    <t>Agent Order Trace</t>
  </si>
  <si>
    <t>91</t>
  </si>
  <si>
    <t>EMEA Agent Services</t>
  </si>
  <si>
    <t>92</t>
  </si>
  <si>
    <t>93</t>
  </si>
  <si>
    <t>EMEA Loyalty</t>
  </si>
  <si>
    <t>Payment Confirmation</t>
  </si>
  <si>
    <t>APAC Loyalty Services Inbox</t>
  </si>
  <si>
    <t xml:space="preserve">APAC WU.com Services Inbox </t>
  </si>
  <si>
    <t>Online Foreign Currency Exchange</t>
  </si>
  <si>
    <t>FSS Outbound</t>
  </si>
  <si>
    <t>99</t>
  </si>
  <si>
    <t>Go Cash</t>
  </si>
  <si>
    <t>A0</t>
  </si>
  <si>
    <t>Prepaid</t>
  </si>
  <si>
    <t>A1</t>
  </si>
  <si>
    <t>Mobile MT</t>
  </si>
  <si>
    <t>Definition</t>
  </si>
  <si>
    <t>Values</t>
  </si>
  <si>
    <t>Priority</t>
  </si>
  <si>
    <t>Code</t>
  </si>
  <si>
    <t>x</t>
  </si>
  <si>
    <t>02 C:E-Yes-No-NA</t>
  </si>
  <si>
    <t>b</t>
  </si>
  <si>
    <t/>
  </si>
  <si>
    <t>c</t>
  </si>
  <si>
    <t>d</t>
  </si>
  <si>
    <t>e</t>
  </si>
  <si>
    <t>06 C:E-Yes-No</t>
  </si>
  <si>
    <t>f</t>
  </si>
  <si>
    <t>g</t>
  </si>
  <si>
    <t>h</t>
  </si>
  <si>
    <t>10 H:E-Yes-No-NA</t>
  </si>
  <si>
    <t>26 L:E-Yes-No-NA</t>
  </si>
  <si>
    <t>30 L:E-Yes-No</t>
  </si>
  <si>
    <t>32 L:Yes-No</t>
  </si>
  <si>
    <t>33 I:Yes-No-NA</t>
  </si>
  <si>
    <t>34 I:Yes-No</t>
  </si>
  <si>
    <t>35 Z:Yes-No</t>
  </si>
  <si>
    <t>z</t>
  </si>
  <si>
    <t>Text</t>
  </si>
  <si>
    <t>36 Text/Num</t>
  </si>
  <si>
    <t>Aktyvus klausymas (konsultantas gebėjo išgirsti klausimus ir suprasti skambinančiųjų poreikius iš pirmo karto nepertraukiant kliento), nepateikta perteklinės informacijos.</t>
  </si>
  <si>
    <t xml:space="preserve">Pagarba klientui išlaikyta viso pokalbio metu - konsultantas nenaudojo pašiepiančių frazių/žodžių. Buvo prisitaikyta prie kliento poreikių. </t>
  </si>
  <si>
    <t xml:space="preserve">Konsultantas rodė iniciatyvą, kryptingai formulavo patikslinamuosius klausimus, kurie padėjo pasiekti/pateikti teisingą ir tikslų atsakymą. </t>
  </si>
  <si>
    <r>
      <t xml:space="preserve">Vidutinis: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</si>
  <si>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r>
      <t xml:space="preserve">Vidutinis: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  <r>
      <rPr>
        <sz val="12"/>
        <rFont val="Arial"/>
        <family val="2"/>
        <charset val="186"/>
      </rPr>
      <t xml:space="preserve"> </t>
    </r>
  </si>
  <si>
    <r>
      <t xml:space="preserve">Svarbus: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</si>
  <si>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r>
      <t xml:space="preserve">Kritinis: </t>
    </r>
    <r>
      <rPr>
        <b/>
        <sz val="12"/>
        <color rgb="FF00B050"/>
        <rFont val="Arial"/>
        <family val="2"/>
        <charset val="186"/>
      </rPr>
      <t>Taip</t>
    </r>
    <r>
      <rPr>
        <sz val="12"/>
        <rFont val="Arial"/>
        <family val="2"/>
        <charset val="186"/>
      </rPr>
      <t xml:space="preserve"> / </t>
    </r>
    <r>
      <rPr>
        <b/>
        <sz val="12"/>
        <color rgb="FFFF0000"/>
        <rFont val="Arial"/>
        <family val="2"/>
        <charset val="186"/>
      </rPr>
      <t>Ne</t>
    </r>
  </si>
  <si>
    <t xml:space="preserve">UAB "Vilniaus Vandenys" 
kokybės vertinimo forma </t>
  </si>
  <si>
    <t>Konsultantas teisingai nustatė kliento tapatybę vadovaudamasis VV taisyklėmis; kontaktų atnaujinimas</t>
  </si>
  <si>
    <t>Konsultantas teisingai pažymėjo kliento kreipinio temą, pažymėjo atitinkamose programose (pieštuke, vadovaujantis VV taisyklėmis), pagal klausimo pobūdį pasiūlė atsiųsti atmintinę klientui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</si>
</sst>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\ hh:mm:ss"/>
    <numFmt numFmtId="165" formatCode="0.0%"/>
  </numFmts>
  <fonts count="41">
    <font>
      <sz val="10"/>
      <color rgb="FF000000"/>
      <name val="Arial"/>
      <charset val="134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FFFFFF"/>
      <name val="Arial"/>
      <family val="2"/>
      <charset val="186"/>
    </font>
    <font>
      <sz val="10"/>
      <color rgb="FFFF6600"/>
      <name val="Arial"/>
      <family val="2"/>
      <charset val="186"/>
    </font>
    <font>
      <b/>
      <sz val="11"/>
      <color rgb="FFFFFFFF"/>
      <name val="Calibri"/>
      <family val="2"/>
      <charset val="186"/>
    </font>
    <font>
      <sz val="11"/>
      <color rgb="FF4F81BD"/>
      <name val="Calibri"/>
      <family val="2"/>
      <charset val="186"/>
    </font>
    <font>
      <b/>
      <sz val="13"/>
      <color rgb="FFFFFFFF"/>
      <name val="Arial"/>
      <family val="2"/>
      <charset val="186"/>
    </font>
    <font>
      <sz val="12"/>
      <name val="Arial"/>
      <family val="2"/>
      <charset val="186"/>
    </font>
    <font>
      <sz val="10"/>
      <name val="Trebuchet MS"/>
      <family val="2"/>
      <charset val="186"/>
    </font>
    <font>
      <sz val="10"/>
      <color rgb="FFC0C0C0"/>
      <name val="Arial"/>
      <family val="2"/>
      <charset val="186"/>
    </font>
    <font>
      <b/>
      <sz val="10"/>
      <color rgb="FF4F010C"/>
      <name val="Arial"/>
      <family val="2"/>
      <charset val="186"/>
    </font>
    <font>
      <b/>
      <sz val="12"/>
      <name val="Arial"/>
      <family val="2"/>
      <charset val="186"/>
    </font>
    <font>
      <b/>
      <sz val="14"/>
      <color rgb="FFFFFFFF"/>
      <name val="Arial"/>
      <family val="2"/>
      <charset val="186"/>
    </font>
    <font>
      <sz val="10"/>
      <color rgb="FFFFFFFF"/>
      <name val="Arial"/>
      <family val="2"/>
      <charset val="186"/>
    </font>
    <font>
      <sz val="14"/>
      <name val="Arial"/>
      <family val="2"/>
      <charset val="186"/>
    </font>
    <font>
      <b/>
      <sz val="18"/>
      <name val="Arial"/>
      <family val="2"/>
      <charset val="186"/>
    </font>
    <font>
      <b/>
      <sz val="16"/>
      <color rgb="FFFFFFFF"/>
      <name val="Arial"/>
      <family val="2"/>
      <charset val="186"/>
    </font>
    <font>
      <sz val="16"/>
      <color rgb="FFC0C0C0"/>
      <name val="Arial"/>
      <family val="2"/>
      <charset val="186"/>
    </font>
    <font>
      <b/>
      <sz val="12"/>
      <color rgb="FFFFFFFF"/>
      <name val="Arial"/>
      <family val="2"/>
      <charset val="186"/>
    </font>
    <font>
      <sz val="11"/>
      <name val="Arial"/>
      <family val="2"/>
      <charset val="186"/>
    </font>
    <font>
      <sz val="16"/>
      <name val="Arial"/>
      <family val="2"/>
      <charset val="186"/>
    </font>
    <font>
      <b/>
      <sz val="14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22"/>
      <name val="Arial"/>
      <family val="2"/>
      <charset val="186"/>
    </font>
    <font>
      <sz val="10"/>
      <color rgb="FF333333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4"/>
      <color rgb="FF000000"/>
      <name val="Arial"/>
      <family val="2"/>
      <charset val="186"/>
    </font>
    <font>
      <b/>
      <sz val="12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24"/>
      <name val="Arial"/>
      <family val="2"/>
      <charset val="186"/>
    </font>
    <font>
      <sz val="8"/>
      <name val="Arial"/>
      <family val="2"/>
      <charset val="186"/>
    </font>
    <font>
      <sz val="24"/>
      <color rgb="FF000000"/>
      <name val="Arial"/>
      <family val="2"/>
      <charset val="186"/>
    </font>
    <font>
      <b/>
      <sz val="16"/>
      <name val="Arial"/>
      <family val="2"/>
      <charset val="186"/>
    </font>
    <font>
      <sz val="10"/>
      <name val="SimSun"/>
    </font>
    <font>
      <sz val="10"/>
      <color rgb="FF000000"/>
      <name val="Arial"/>
      <family val="2"/>
      <charset val="186"/>
    </font>
    <font>
      <sz val="10"/>
      <color rgb="FF201F1E"/>
      <name val="Arial"/>
      <family val="2"/>
      <charset val="186"/>
    </font>
    <font>
      <b/>
      <sz val="12"/>
      <color rgb="FF00B050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rgb="FF000000"/>
      <name val="Arial"/>
      <family val="2"/>
      <charset val="186"/>
    </font>
  </fonts>
  <fills count="49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  <fill>
      <patternFill patternType="solid">
        <fgColor rgb="FF003399"/>
        <bgColor rgb="FF003399"/>
      </patternFill>
    </fill>
    <fill>
      <patternFill patternType="solid">
        <fgColor rgb="FF3BAEC5"/>
        <bgColor rgb="FF3BAEC5"/>
      </patternFill>
    </fill>
    <fill>
      <patternFill patternType="solid">
        <fgColor rgb="FF4D41ED"/>
        <bgColor rgb="FF4D41ED"/>
      </patternFill>
    </fill>
    <fill>
      <patternFill patternType="solid">
        <fgColor rgb="FFC0504D"/>
        <bgColor rgb="FFC0504D"/>
      </patternFill>
    </fill>
    <fill>
      <patternFill patternType="solid">
        <fgColor rgb="FF4F81BD"/>
        <bgColor rgb="FF4F81BD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  <fill>
      <patternFill patternType="solid">
        <fgColor rgb="FF35A54A"/>
        <bgColor rgb="FF35A54A"/>
      </patternFill>
    </fill>
    <fill>
      <patternFill patternType="solid">
        <fgColor rgb="FFD6E3BC"/>
        <bgColor rgb="FFD6E3BC"/>
      </patternFill>
    </fill>
    <fill>
      <patternFill patternType="solid">
        <fgColor rgb="FFFFFF66"/>
        <bgColor rgb="FFFFFF66"/>
      </patternFill>
    </fill>
    <fill>
      <patternFill patternType="solid">
        <fgColor rgb="FFE5DFEC"/>
        <bgColor rgb="FFE5DFEC"/>
      </patternFill>
    </fill>
    <fill>
      <patternFill patternType="solid">
        <fgColor rgb="FFEAF1DD"/>
        <bgColor rgb="FFEAF1DD"/>
      </patternFill>
    </fill>
    <fill>
      <patternFill patternType="solid">
        <fgColor rgb="FFFF6600"/>
        <bgColor rgb="FFFF6600"/>
      </patternFill>
    </fill>
    <fill>
      <patternFill patternType="solid">
        <fgColor rgb="FFFDD3A9"/>
        <bgColor rgb="FFFDD3A9"/>
      </patternFill>
    </fill>
    <fill>
      <patternFill patternType="solid">
        <fgColor rgb="FF76923C"/>
        <bgColor rgb="FF76923C"/>
      </patternFill>
    </fill>
    <fill>
      <patternFill patternType="solid">
        <fgColor rgb="FF000000"/>
        <bgColor rgb="FF000000"/>
      </patternFill>
    </fill>
    <fill>
      <patternFill patternType="solid">
        <fgColor rgb="FFC2D69B"/>
        <bgColor rgb="FFC2D69B"/>
      </patternFill>
    </fill>
    <fill>
      <patternFill patternType="solid">
        <fgColor rgb="FFDAEEF3"/>
        <bgColor rgb="FFDAEEF3"/>
      </patternFill>
    </fill>
    <fill>
      <patternFill patternType="solid">
        <fgColor rgb="FF99CCFF"/>
        <bgColor rgb="FF99CCFF"/>
      </patternFill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5F497A"/>
        <bgColor rgb="FF5F497A"/>
      </patternFill>
    </fill>
    <fill>
      <patternFill patternType="solid">
        <fgColor rgb="FF494429"/>
        <bgColor rgb="FF494429"/>
      </patternFill>
    </fill>
    <fill>
      <patternFill patternType="solid">
        <fgColor rgb="FF31859B"/>
        <bgColor rgb="FF31859B"/>
      </patternFill>
    </fill>
    <fill>
      <patternFill patternType="solid">
        <fgColor rgb="FFE36C09"/>
        <bgColor rgb="FFE36C09"/>
      </patternFill>
    </fill>
    <fill>
      <patternFill patternType="solid">
        <fgColor rgb="FF95B3D7"/>
        <bgColor rgb="FF95B3D7"/>
      </patternFill>
    </fill>
    <fill>
      <patternFill patternType="solid">
        <fgColor rgb="FFB2A1C7"/>
        <bgColor rgb="FFB2A1C7"/>
      </patternFill>
    </fill>
    <fill>
      <patternFill patternType="solid">
        <fgColor rgb="FF92CDDC"/>
        <bgColor rgb="FF92CDDC"/>
      </patternFill>
    </fill>
    <fill>
      <patternFill patternType="solid">
        <fgColor rgb="FFCCC0D9"/>
        <bgColor rgb="FFCCC0D9"/>
      </patternFill>
    </fill>
    <fill>
      <patternFill patternType="solid">
        <fgColor rgb="FFB6DDE8"/>
        <bgColor rgb="FFB6DDE8"/>
      </patternFill>
    </fill>
    <fill>
      <patternFill patternType="solid">
        <fgColor rgb="FF938953"/>
        <bgColor rgb="FF938953"/>
      </patternFill>
    </fill>
    <fill>
      <patternFill patternType="solid">
        <fgColor rgb="FFFABF8F"/>
        <bgColor rgb="FFFABF8F"/>
      </patternFill>
    </fill>
    <fill>
      <patternFill patternType="solid">
        <fgColor rgb="FFC4BD97"/>
        <bgColor rgb="FFC4BD97"/>
      </patternFill>
    </fill>
    <fill>
      <patternFill patternType="solid">
        <fgColor rgb="FFFBD4B4"/>
        <bgColor rgb="FFFBD4B4"/>
      </patternFill>
    </fill>
    <fill>
      <patternFill patternType="solid">
        <fgColor rgb="FF632423"/>
        <bgColor rgb="FF632423"/>
      </patternFill>
    </fill>
    <fill>
      <patternFill patternType="solid">
        <fgColor rgb="FF17365D"/>
        <bgColor rgb="FF17365D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3" tint="0.79998168889431442"/>
        <bgColor rgb="FFDBE5F1"/>
      </patternFill>
    </fill>
    <fill>
      <patternFill patternType="solid">
        <fgColor theme="3" tint="0.79998168889431442"/>
        <bgColor rgb="FFDAEEF3"/>
      </patternFill>
    </fill>
  </fills>
  <borders count="1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FFFFFF"/>
      </right>
      <top/>
      <bottom style="thick">
        <color rgb="FFFFFFFF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 style="dotted">
        <color rgb="FF000000"/>
      </left>
      <right/>
      <top style="dotted">
        <color indexed="64"/>
      </top>
      <bottom/>
      <diagonal/>
    </border>
    <border>
      <left/>
      <right style="dotted">
        <color rgb="FF000000"/>
      </right>
      <top style="medium">
        <color rgb="FF000000"/>
      </top>
      <bottom style="dotted">
        <color indexed="64"/>
      </bottom>
      <diagonal/>
    </border>
    <border>
      <left/>
      <right/>
      <top style="medium">
        <color rgb="FF000000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rgb="FF000000"/>
      </top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rgb="FF000000"/>
      </left>
      <right style="dotted">
        <color indexed="64"/>
      </right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indexed="64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/>
      <bottom style="dotted">
        <color rgb="FF000000"/>
      </bottom>
      <diagonal/>
    </border>
    <border>
      <left style="dotted">
        <color indexed="64"/>
      </left>
      <right style="dotted">
        <color indexed="64"/>
      </right>
      <top style="medium">
        <color rgb="FF000000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rgb="FF000000"/>
      </bottom>
      <diagonal/>
    </border>
    <border>
      <left/>
      <right style="dotted">
        <color indexed="64"/>
      </right>
      <top/>
      <bottom style="dotted">
        <color rgb="FF000000"/>
      </bottom>
      <diagonal/>
    </border>
    <border>
      <left style="dotted">
        <color rgb="FF000000"/>
      </left>
      <right style="dotted">
        <color indexed="64"/>
      </right>
      <top style="dotted">
        <color indexed="64"/>
      </top>
      <bottom style="dotted">
        <color rgb="FF000000"/>
      </bottom>
      <diagonal/>
    </border>
  </borders>
  <cellStyleXfs count="1">
    <xf numFmtId="0" fontId="0" fillId="0" borderId="0"/>
  </cellStyleXfs>
  <cellXfs count="450">
    <xf numFmtId="0" fontId="0" fillId="0" borderId="0" xfId="0" applyFont="1" applyAlignme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0" fontId="1" fillId="0" borderId="0" xfId="0" applyFont="1"/>
    <xf numFmtId="0" fontId="2" fillId="5" borderId="0" xfId="0" applyFont="1" applyFill="1" applyBorder="1"/>
    <xf numFmtId="0" fontId="2" fillId="0" borderId="0" xfId="0" applyFont="1"/>
    <xf numFmtId="0" fontId="2" fillId="2" borderId="1" xfId="0" applyFont="1" applyFill="1" applyBorder="1"/>
    <xf numFmtId="0" fontId="2" fillId="2" borderId="0" xfId="0" applyFont="1" applyFill="1" applyBorder="1"/>
    <xf numFmtId="0" fontId="1" fillId="5" borderId="0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9" fontId="2" fillId="2" borderId="0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0" borderId="0" xfId="0" applyFont="1" applyAlignment="1">
      <alignment horizontal="center" vertical="center" textRotation="90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2" fillId="8" borderId="14" xfId="0" applyFont="1" applyFill="1" applyBorder="1"/>
    <xf numFmtId="0" fontId="1" fillId="0" borderId="0" xfId="0" applyFont="1" applyAlignment="1">
      <alignment horizontal="center"/>
    </xf>
    <xf numFmtId="0" fontId="4" fillId="0" borderId="0" xfId="0" applyFont="1"/>
    <xf numFmtId="0" fontId="3" fillId="9" borderId="15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5" xfId="0" applyFont="1" applyBorder="1"/>
    <xf numFmtId="0" fontId="1" fillId="7" borderId="16" xfId="0" applyFont="1" applyFill="1" applyBorder="1"/>
    <xf numFmtId="0" fontId="5" fillId="10" borderId="17" xfId="0" applyFont="1" applyFill="1" applyBorder="1"/>
    <xf numFmtId="0" fontId="1" fillId="7" borderId="18" xfId="0" applyFont="1" applyFill="1" applyBorder="1"/>
    <xf numFmtId="0" fontId="5" fillId="10" borderId="15" xfId="0" applyFont="1" applyFill="1" applyBorder="1"/>
    <xf numFmtId="49" fontId="2" fillId="11" borderId="0" xfId="0" applyNumberFormat="1" applyFont="1" applyFill="1" applyBorder="1"/>
    <xf numFmtId="49" fontId="2" fillId="0" borderId="0" xfId="0" applyNumberFormat="1" applyFont="1"/>
    <xf numFmtId="0" fontId="2" fillId="12" borderId="19" xfId="0" applyFont="1" applyFill="1" applyBorder="1"/>
    <xf numFmtId="0" fontId="2" fillId="13" borderId="19" xfId="0" applyFont="1" applyFill="1" applyBorder="1"/>
    <xf numFmtId="0" fontId="2" fillId="11" borderId="0" xfId="0" applyFont="1" applyFill="1" applyBorder="1"/>
    <xf numFmtId="0" fontId="1" fillId="7" borderId="20" xfId="0" applyFont="1" applyFill="1" applyBorder="1" applyAlignment="1">
      <alignment horizontal="left"/>
    </xf>
    <xf numFmtId="0" fontId="1" fillId="7" borderId="20" xfId="0" applyFont="1" applyFill="1" applyBorder="1"/>
    <xf numFmtId="0" fontId="5" fillId="10" borderId="21" xfId="0" applyFont="1" applyFill="1" applyBorder="1"/>
    <xf numFmtId="0" fontId="2" fillId="7" borderId="20" xfId="0" applyFont="1" applyFill="1" applyBorder="1"/>
    <xf numFmtId="0" fontId="1" fillId="7" borderId="20" xfId="0" applyFont="1" applyFill="1" applyBorder="1" applyAlignment="1">
      <alignment horizontal="center"/>
    </xf>
    <xf numFmtId="0" fontId="2" fillId="12" borderId="22" xfId="0" applyFont="1" applyFill="1" applyBorder="1"/>
    <xf numFmtId="0" fontId="2" fillId="7" borderId="0" xfId="0" applyFont="1" applyFill="1" applyBorder="1"/>
    <xf numFmtId="0" fontId="2" fillId="13" borderId="22" xfId="0" applyFont="1" applyFill="1" applyBorder="1"/>
    <xf numFmtId="0" fontId="6" fillId="13" borderId="19" xfId="0" applyFont="1" applyFill="1" applyBorder="1"/>
    <xf numFmtId="0" fontId="1" fillId="14" borderId="20" xfId="0" applyFont="1" applyFill="1" applyBorder="1" applyAlignment="1">
      <alignment horizontal="left"/>
    </xf>
    <xf numFmtId="0" fontId="1" fillId="14" borderId="23" xfId="0" applyFont="1" applyFill="1" applyBorder="1"/>
    <xf numFmtId="0" fontId="1" fillId="15" borderId="0" xfId="0" applyFont="1" applyFill="1" applyBorder="1"/>
    <xf numFmtId="0" fontId="2" fillId="0" borderId="24" xfId="0" applyFont="1" applyBorder="1"/>
    <xf numFmtId="0" fontId="2" fillId="14" borderId="20" xfId="0" applyFont="1" applyFill="1" applyBorder="1"/>
    <xf numFmtId="0" fontId="1" fillId="14" borderId="23" xfId="0" applyFont="1" applyFill="1" applyBorder="1" applyAlignment="1">
      <alignment horizontal="center"/>
    </xf>
    <xf numFmtId="0" fontId="2" fillId="16" borderId="0" xfId="0" applyFont="1" applyFill="1" applyBorder="1"/>
    <xf numFmtId="0" fontId="2" fillId="14" borderId="0" xfId="0" applyFont="1" applyFill="1" applyBorder="1"/>
    <xf numFmtId="49" fontId="2" fillId="17" borderId="0" xfId="0" applyNumberFormat="1" applyFont="1" applyFill="1" applyBorder="1"/>
    <xf numFmtId="0" fontId="2" fillId="18" borderId="0" xfId="0" applyFont="1" applyFill="1" applyBorder="1"/>
    <xf numFmtId="49" fontId="2" fillId="14" borderId="0" xfId="0" applyNumberFormat="1" applyFont="1" applyFill="1" applyBorder="1" applyAlignment="1">
      <alignment horizontal="right"/>
    </xf>
    <xf numFmtId="0" fontId="2" fillId="19" borderId="0" xfId="0" applyFont="1" applyFill="1" applyBorder="1"/>
    <xf numFmtId="0" fontId="2" fillId="20" borderId="24" xfId="0" applyFont="1" applyFill="1" applyBorder="1"/>
    <xf numFmtId="0" fontId="2" fillId="20" borderId="16" xfId="0" applyFont="1" applyFill="1" applyBorder="1"/>
    <xf numFmtId="0" fontId="2" fillId="21" borderId="24" xfId="0" applyFont="1" applyFill="1" applyBorder="1"/>
    <xf numFmtId="0" fontId="2" fillId="21" borderId="27" xfId="0" applyFont="1" applyFill="1" applyBorder="1"/>
    <xf numFmtId="0" fontId="2" fillId="21" borderId="25" xfId="0" applyFont="1" applyFill="1" applyBorder="1"/>
    <xf numFmtId="0" fontId="2" fillId="21" borderId="0" xfId="0" applyFont="1" applyFill="1" applyBorder="1"/>
    <xf numFmtId="0" fontId="2" fillId="19" borderId="29" xfId="0" applyFont="1" applyFill="1" applyBorder="1"/>
    <xf numFmtId="0" fontId="2" fillId="7" borderId="25" xfId="0" applyFont="1" applyFill="1" applyBorder="1"/>
    <xf numFmtId="0" fontId="2" fillId="19" borderId="31" xfId="0" applyFont="1" applyFill="1" applyBorder="1"/>
    <xf numFmtId="0" fontId="2" fillId="21" borderId="26" xfId="0" applyFont="1" applyFill="1" applyBorder="1"/>
    <xf numFmtId="0" fontId="2" fillId="21" borderId="18" xfId="0" applyFont="1" applyFill="1" applyBorder="1"/>
    <xf numFmtId="0" fontId="2" fillId="19" borderId="32" xfId="0" applyFont="1" applyFill="1" applyBorder="1"/>
    <xf numFmtId="0" fontId="2" fillId="19" borderId="24" xfId="0" applyFont="1" applyFill="1" applyBorder="1"/>
    <xf numFmtId="0" fontId="2" fillId="19" borderId="27" xfId="0" applyFont="1" applyFill="1" applyBorder="1"/>
    <xf numFmtId="0" fontId="3" fillId="23" borderId="0" xfId="0" applyFont="1" applyFill="1" applyBorder="1"/>
    <xf numFmtId="0" fontId="1" fillId="24" borderId="0" xfId="0" applyFont="1" applyFill="1" applyBorder="1" applyAlignment="1">
      <alignment horizontal="center" vertical="center"/>
    </xf>
    <xf numFmtId="0" fontId="1" fillId="16" borderId="0" xfId="0" applyFont="1" applyFill="1" applyBorder="1" applyAlignment="1">
      <alignment horizontal="center" vertical="center"/>
    </xf>
    <xf numFmtId="0" fontId="2" fillId="19" borderId="25" xfId="0" applyFont="1" applyFill="1" applyBorder="1"/>
    <xf numFmtId="0" fontId="2" fillId="19" borderId="28" xfId="0" applyFont="1" applyFill="1" applyBorder="1"/>
    <xf numFmtId="0" fontId="2" fillId="24" borderId="0" xfId="0" applyFont="1" applyFill="1" applyBorder="1" applyAlignment="1">
      <alignment horizontal="center" vertical="center"/>
    </xf>
    <xf numFmtId="0" fontId="2" fillId="19" borderId="0" xfId="0" applyFont="1" applyFill="1" applyBorder="1" applyAlignment="1">
      <alignment horizontal="center" vertical="center"/>
    </xf>
    <xf numFmtId="0" fontId="2" fillId="19" borderId="26" xfId="0" applyFont="1" applyFill="1" applyBorder="1"/>
    <xf numFmtId="0" fontId="2" fillId="19" borderId="30" xfId="0" applyFont="1" applyFill="1" applyBorder="1"/>
    <xf numFmtId="0" fontId="2" fillId="12" borderId="19" xfId="0" applyFont="1" applyFill="1" applyBorder="1" applyAlignment="1">
      <alignment horizontal="left" vertical="top"/>
    </xf>
    <xf numFmtId="0" fontId="2" fillId="13" borderId="19" xfId="0" applyFont="1" applyFill="1" applyBorder="1" applyAlignment="1">
      <alignment horizontal="left"/>
    </xf>
    <xf numFmtId="0" fontId="2" fillId="12" borderId="19" xfId="0" applyFont="1" applyFill="1" applyBorder="1" applyAlignment="1">
      <alignment horizontal="left"/>
    </xf>
    <xf numFmtId="0" fontId="2" fillId="13" borderId="17" xfId="0" applyFont="1" applyFill="1" applyBorder="1" applyAlignment="1">
      <alignment horizontal="left"/>
    </xf>
    <xf numFmtId="0" fontId="2" fillId="13" borderId="0" xfId="0" applyFont="1" applyFill="1" applyBorder="1" applyAlignment="1">
      <alignment horizontal="left"/>
    </xf>
    <xf numFmtId="0" fontId="6" fillId="12" borderId="19" xfId="0" applyFont="1" applyFill="1" applyBorder="1"/>
    <xf numFmtId="0" fontId="2" fillId="13" borderId="17" xfId="0" applyFont="1" applyFill="1" applyBorder="1"/>
    <xf numFmtId="0" fontId="2" fillId="13" borderId="0" xfId="0" applyFont="1" applyFill="1" applyBorder="1"/>
    <xf numFmtId="0" fontId="2" fillId="25" borderId="0" xfId="0" applyFont="1" applyFill="1" applyBorder="1"/>
    <xf numFmtId="0" fontId="3" fillId="26" borderId="0" xfId="0" applyFont="1" applyFill="1" applyBorder="1"/>
    <xf numFmtId="0" fontId="1" fillId="26" borderId="33" xfId="0" applyFont="1" applyFill="1" applyBorder="1" applyAlignment="1">
      <alignment horizontal="center" vertical="top" wrapText="1"/>
    </xf>
    <xf numFmtId="0" fontId="1" fillId="26" borderId="9" xfId="0" applyFont="1" applyFill="1" applyBorder="1" applyAlignment="1">
      <alignment horizontal="center" vertical="top" wrapText="1"/>
    </xf>
    <xf numFmtId="0" fontId="1" fillId="26" borderId="34" xfId="0" applyFont="1" applyFill="1" applyBorder="1" applyAlignment="1">
      <alignment horizontal="center" vertical="top" wrapText="1"/>
    </xf>
    <xf numFmtId="0" fontId="1" fillId="26" borderId="35" xfId="0" applyFont="1" applyFill="1" applyBorder="1" applyAlignment="1">
      <alignment horizontal="center" vertical="top" wrapText="1"/>
    </xf>
    <xf numFmtId="0" fontId="1" fillId="26" borderId="36" xfId="0" applyFont="1" applyFill="1" applyBorder="1" applyAlignment="1">
      <alignment horizontal="center" vertical="top" wrapText="1"/>
    </xf>
    <xf numFmtId="0" fontId="2" fillId="28" borderId="37" xfId="0" applyFont="1" applyFill="1" applyBorder="1"/>
    <xf numFmtId="0" fontId="2" fillId="28" borderId="38" xfId="0" applyFont="1" applyFill="1" applyBorder="1"/>
    <xf numFmtId="0" fontId="9" fillId="28" borderId="38" xfId="0" applyFont="1" applyFill="1" applyBorder="1"/>
    <xf numFmtId="0" fontId="2" fillId="28" borderId="38" xfId="0" applyFont="1" applyFill="1" applyBorder="1" applyAlignment="1">
      <alignment horizontal="center"/>
    </xf>
    <xf numFmtId="0" fontId="2" fillId="0" borderId="39" xfId="0" applyFont="1" applyBorder="1"/>
    <xf numFmtId="0" fontId="2" fillId="0" borderId="40" xfId="0" applyFont="1" applyBorder="1"/>
    <xf numFmtId="0" fontId="9" fillId="0" borderId="40" xfId="0" applyFont="1" applyBorder="1"/>
    <xf numFmtId="0" fontId="2" fillId="0" borderId="40" xfId="0" applyFont="1" applyBorder="1" applyAlignment="1">
      <alignment horizontal="center"/>
    </xf>
    <xf numFmtId="0" fontId="2" fillId="28" borderId="39" xfId="0" applyFont="1" applyFill="1" applyBorder="1"/>
    <xf numFmtId="0" fontId="2" fillId="28" borderId="40" xfId="0" applyFont="1" applyFill="1" applyBorder="1"/>
    <xf numFmtId="0" fontId="9" fillId="28" borderId="40" xfId="0" applyFont="1" applyFill="1" applyBorder="1"/>
    <xf numFmtId="0" fontId="2" fillId="28" borderId="40" xfId="0" applyFont="1" applyFill="1" applyBorder="1" applyAlignment="1">
      <alignment horizontal="center"/>
    </xf>
    <xf numFmtId="0" fontId="9" fillId="28" borderId="40" xfId="0" applyFont="1" applyFill="1" applyBorder="1" applyAlignment="1">
      <alignment vertical="top" wrapText="1"/>
    </xf>
    <xf numFmtId="0" fontId="9" fillId="0" borderId="40" xfId="0" applyFont="1" applyBorder="1" applyAlignment="1">
      <alignment vertical="top" wrapText="1"/>
    </xf>
    <xf numFmtId="0" fontId="10" fillId="28" borderId="26" xfId="0" applyFont="1" applyFill="1" applyBorder="1"/>
    <xf numFmtId="0" fontId="10" fillId="28" borderId="18" xfId="0" applyFont="1" applyFill="1" applyBorder="1"/>
    <xf numFmtId="0" fontId="3" fillId="6" borderId="41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43" xfId="0" applyFont="1" applyFill="1" applyBorder="1" applyAlignment="1">
      <alignment horizontal="center" vertical="center" wrapText="1"/>
    </xf>
    <xf numFmtId="165" fontId="12" fillId="26" borderId="44" xfId="0" applyNumberFormat="1" applyFont="1" applyFill="1" applyBorder="1" applyAlignment="1">
      <alignment horizontal="center" vertical="center"/>
    </xf>
    <xf numFmtId="0" fontId="2" fillId="28" borderId="34" xfId="0" applyFont="1" applyFill="1" applyBorder="1" applyAlignment="1">
      <alignment horizontal="center" vertical="center"/>
    </xf>
    <xf numFmtId="0" fontId="2" fillId="28" borderId="9" xfId="0" applyFont="1" applyFill="1" applyBorder="1" applyAlignment="1">
      <alignment horizontal="center" vertical="center"/>
    </xf>
    <xf numFmtId="0" fontId="1" fillId="29" borderId="45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28" borderId="46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40" xfId="0" applyFont="1" applyFill="1" applyBorder="1" applyAlignment="1">
      <alignment horizontal="center"/>
    </xf>
    <xf numFmtId="0" fontId="2" fillId="5" borderId="46" xfId="0" applyFont="1" applyFill="1" applyBorder="1" applyAlignment="1">
      <alignment horizontal="center"/>
    </xf>
    <xf numFmtId="0" fontId="9" fillId="0" borderId="0" xfId="0" applyFont="1"/>
    <xf numFmtId="0" fontId="2" fillId="0" borderId="47" xfId="0" applyFont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/>
    </xf>
    <xf numFmtId="0" fontId="2" fillId="28" borderId="47" xfId="0" applyFont="1" applyFill="1" applyBorder="1" applyAlignment="1">
      <alignment horizontal="center"/>
    </xf>
    <xf numFmtId="0" fontId="10" fillId="28" borderId="48" xfId="0" applyFont="1" applyFill="1" applyBorder="1"/>
    <xf numFmtId="0" fontId="2" fillId="30" borderId="9" xfId="0" applyFont="1" applyFill="1" applyBorder="1" applyAlignment="1">
      <alignment horizontal="center" vertical="center"/>
    </xf>
    <xf numFmtId="0" fontId="1" fillId="0" borderId="27" xfId="0" applyFont="1" applyBorder="1"/>
    <xf numFmtId="0" fontId="2" fillId="0" borderId="30" xfId="0" applyFont="1" applyBorder="1" applyAlignment="1">
      <alignment horizontal="center"/>
    </xf>
    <xf numFmtId="0" fontId="14" fillId="0" borderId="0" xfId="0" applyFont="1"/>
    <xf numFmtId="0" fontId="1" fillId="0" borderId="49" xfId="0" applyFont="1" applyBorder="1"/>
    <xf numFmtId="0" fontId="2" fillId="0" borderId="50" xfId="0" applyFont="1" applyBorder="1" applyAlignment="1">
      <alignment horizontal="right" vertical="top"/>
    </xf>
    <xf numFmtId="0" fontId="3" fillId="31" borderId="33" xfId="0" applyFont="1" applyFill="1" applyBorder="1"/>
    <xf numFmtId="0" fontId="1" fillId="0" borderId="51" xfId="0" applyFont="1" applyBorder="1"/>
    <xf numFmtId="0" fontId="2" fillId="0" borderId="52" xfId="0" applyFont="1" applyBorder="1" applyAlignment="1">
      <alignment horizontal="right" vertical="top"/>
    </xf>
    <xf numFmtId="0" fontId="3" fillId="32" borderId="26" xfId="0" applyFont="1" applyFill="1" applyBorder="1"/>
    <xf numFmtId="0" fontId="2" fillId="0" borderId="52" xfId="0" applyFont="1" applyBorder="1" applyAlignment="1">
      <alignment horizontal="right" vertical="top" wrapText="1"/>
    </xf>
    <xf numFmtId="0" fontId="3" fillId="33" borderId="33" xfId="0" applyFont="1" applyFill="1" applyBorder="1"/>
    <xf numFmtId="0" fontId="2" fillId="0" borderId="51" xfId="0" applyFont="1" applyBorder="1"/>
    <xf numFmtId="0" fontId="3" fillId="34" borderId="26" xfId="0" applyFont="1" applyFill="1" applyBorder="1"/>
    <xf numFmtId="0" fontId="2" fillId="0" borderId="53" xfId="0" applyFont="1" applyBorder="1"/>
    <xf numFmtId="0" fontId="2" fillId="0" borderId="54" xfId="0" applyFont="1" applyBorder="1" applyAlignment="1">
      <alignment horizontal="right" vertical="top"/>
    </xf>
    <xf numFmtId="0" fontId="1" fillId="0" borderId="55" xfId="0" applyFont="1" applyBorder="1" applyAlignment="1">
      <alignment vertical="top"/>
    </xf>
    <xf numFmtId="164" fontId="2" fillId="0" borderId="50" xfId="0" applyNumberFormat="1" applyFont="1" applyBorder="1"/>
    <xf numFmtId="0" fontId="2" fillId="0" borderId="50" xfId="0" applyFont="1" applyBorder="1" applyAlignment="1">
      <alignment horizontal="center" vertical="top"/>
    </xf>
    <xf numFmtId="1" fontId="2" fillId="0" borderId="52" xfId="0" applyNumberFormat="1" applyFont="1" applyBorder="1"/>
    <xf numFmtId="0" fontId="1" fillId="0" borderId="56" xfId="0" applyFont="1" applyBorder="1" applyAlignment="1">
      <alignment vertical="top"/>
    </xf>
    <xf numFmtId="0" fontId="2" fillId="0" borderId="57" xfId="0" applyFont="1" applyBorder="1" applyAlignment="1">
      <alignment horizontal="center" vertical="top" wrapText="1"/>
    </xf>
    <xf numFmtId="0" fontId="1" fillId="0" borderId="53" xfId="0" applyFont="1" applyBorder="1"/>
    <xf numFmtId="1" fontId="2" fillId="0" borderId="54" xfId="0" applyNumberFormat="1" applyFont="1" applyBorder="1"/>
    <xf numFmtId="0" fontId="1" fillId="0" borderId="53" xfId="0" applyFont="1" applyBorder="1" applyAlignment="1">
      <alignment vertical="top"/>
    </xf>
    <xf numFmtId="0" fontId="2" fillId="0" borderId="54" xfId="0" applyFont="1" applyBorder="1" applyAlignment="1">
      <alignment horizontal="center" vertical="top" wrapText="1"/>
    </xf>
    <xf numFmtId="0" fontId="17" fillId="31" borderId="33" xfId="0" applyFont="1" applyFill="1" applyBorder="1" applyAlignment="1">
      <alignment vertical="top"/>
    </xf>
    <xf numFmtId="10" fontId="17" fillId="31" borderId="9" xfId="0" applyNumberFormat="1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7" fillId="33" borderId="33" xfId="0" applyFont="1" applyFill="1" applyBorder="1" applyAlignment="1">
      <alignment vertical="top"/>
    </xf>
    <xf numFmtId="10" fontId="17" fillId="33" borderId="9" xfId="0" applyNumberFormat="1" applyFont="1" applyFill="1" applyBorder="1" applyAlignment="1">
      <alignment horizontal="right" vertical="top"/>
    </xf>
    <xf numFmtId="0" fontId="19" fillId="36" borderId="58" xfId="0" applyFont="1" applyFill="1" applyBorder="1" applyAlignment="1">
      <alignment horizontal="center" vertical="top"/>
    </xf>
    <xf numFmtId="0" fontId="19" fillId="36" borderId="59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9" fillId="37" borderId="58" xfId="0" applyFont="1" applyFill="1" applyBorder="1" applyAlignment="1">
      <alignment horizontal="center" vertical="top"/>
    </xf>
    <xf numFmtId="0" fontId="19" fillId="37" borderId="59" xfId="0" applyFont="1" applyFill="1" applyBorder="1" applyAlignment="1">
      <alignment horizontal="center" vertical="top"/>
    </xf>
    <xf numFmtId="0" fontId="20" fillId="38" borderId="60" xfId="0" applyFont="1" applyFill="1" applyBorder="1" applyAlignment="1">
      <alignment horizontal="left" vertical="top" wrapText="1"/>
    </xf>
    <xf numFmtId="0" fontId="8" fillId="38" borderId="61" xfId="0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20" fillId="39" borderId="60" xfId="0" applyFont="1" applyFill="1" applyBorder="1" applyAlignment="1">
      <alignment horizontal="left" vertical="top" wrapText="1"/>
    </xf>
    <xf numFmtId="0" fontId="8" fillId="39" borderId="61" xfId="0" applyFont="1" applyFill="1" applyBorder="1" applyAlignment="1">
      <alignment horizontal="center" vertical="top"/>
    </xf>
    <xf numFmtId="0" fontId="20" fillId="38" borderId="60" xfId="0" applyFont="1" applyFill="1" applyBorder="1" applyAlignment="1">
      <alignment vertical="top"/>
    </xf>
    <xf numFmtId="0" fontId="20" fillId="38" borderId="62" xfId="0" applyFont="1" applyFill="1" applyBorder="1" applyAlignment="1">
      <alignment horizontal="left" vertical="top" wrapText="1"/>
    </xf>
    <xf numFmtId="0" fontId="8" fillId="38" borderId="63" xfId="0" applyFont="1" applyFill="1" applyBorder="1" applyAlignment="1">
      <alignment horizontal="center" vertical="top"/>
    </xf>
    <xf numFmtId="0" fontId="20" fillId="39" borderId="62" xfId="0" applyFont="1" applyFill="1" applyBorder="1" applyAlignment="1">
      <alignment horizontal="left" vertical="top" wrapText="1"/>
    </xf>
    <xf numFmtId="0" fontId="8" fillId="39" borderId="63" xfId="0" applyFont="1" applyFill="1" applyBorder="1" applyAlignment="1">
      <alignment horizontal="center" vertical="top"/>
    </xf>
    <xf numFmtId="0" fontId="2" fillId="0" borderId="16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/>
    </xf>
    <xf numFmtId="0" fontId="2" fillId="0" borderId="18" xfId="0" applyFont="1" applyBorder="1" applyAlignment="1">
      <alignment vertical="top"/>
    </xf>
    <xf numFmtId="0" fontId="17" fillId="32" borderId="26" xfId="0" applyFont="1" applyFill="1" applyBorder="1" applyAlignment="1">
      <alignment vertical="top"/>
    </xf>
    <xf numFmtId="10" fontId="17" fillId="32" borderId="30" xfId="0" applyNumberFormat="1" applyFont="1" applyFill="1" applyBorder="1" applyAlignment="1">
      <alignment horizontal="right" vertical="top"/>
    </xf>
    <xf numFmtId="0" fontId="21" fillId="0" borderId="0" xfId="0" applyFont="1" applyAlignment="1">
      <alignment vertical="top"/>
    </xf>
    <xf numFmtId="0" fontId="17" fillId="34" borderId="26" xfId="0" applyFont="1" applyFill="1" applyBorder="1" applyAlignment="1">
      <alignment vertical="top"/>
    </xf>
    <xf numFmtId="10" fontId="17" fillId="34" borderId="30" xfId="0" applyNumberFormat="1" applyFont="1" applyFill="1" applyBorder="1" applyAlignment="1">
      <alignment horizontal="right" vertical="top"/>
    </xf>
    <xf numFmtId="0" fontId="3" fillId="0" borderId="0" xfId="0" applyFont="1" applyAlignment="1">
      <alignment horizontal="center"/>
    </xf>
    <xf numFmtId="0" fontId="19" fillId="40" borderId="58" xfId="0" applyFont="1" applyFill="1" applyBorder="1" applyAlignment="1">
      <alignment horizontal="center" vertical="top"/>
    </xf>
    <xf numFmtId="0" fontId="19" fillId="40" borderId="59" xfId="0" applyFont="1" applyFill="1" applyBorder="1" applyAlignment="1">
      <alignment horizontal="center" vertical="top"/>
    </xf>
    <xf numFmtId="0" fontId="19" fillId="41" borderId="58" xfId="0" applyFont="1" applyFill="1" applyBorder="1" applyAlignment="1">
      <alignment horizontal="center" vertical="top"/>
    </xf>
    <xf numFmtId="0" fontId="19" fillId="41" borderId="59" xfId="0" applyFont="1" applyFill="1" applyBorder="1" applyAlignment="1">
      <alignment horizontal="center" vertical="top"/>
    </xf>
    <xf numFmtId="0" fontId="20" fillId="42" borderId="60" xfId="0" applyFont="1" applyFill="1" applyBorder="1" applyAlignment="1">
      <alignment horizontal="left" vertical="top" wrapText="1"/>
    </xf>
    <xf numFmtId="0" fontId="8" fillId="42" borderId="61" xfId="0" applyFont="1" applyFill="1" applyBorder="1" applyAlignment="1">
      <alignment horizontal="center" vertical="top"/>
    </xf>
    <xf numFmtId="0" fontId="20" fillId="43" borderId="60" xfId="0" applyFont="1" applyFill="1" applyBorder="1" applyAlignment="1">
      <alignment horizontal="left" vertical="top" wrapText="1"/>
    </xf>
    <xf numFmtId="0" fontId="8" fillId="43" borderId="61" xfId="0" applyFont="1" applyFill="1" applyBorder="1" applyAlignment="1">
      <alignment horizontal="center" vertical="top"/>
    </xf>
    <xf numFmtId="0" fontId="20" fillId="42" borderId="60" xfId="0" applyFont="1" applyFill="1" applyBorder="1" applyAlignment="1">
      <alignment vertical="top"/>
    </xf>
    <xf numFmtId="0" fontId="20" fillId="42" borderId="64" xfId="0" applyFont="1" applyFill="1" applyBorder="1" applyAlignment="1">
      <alignment horizontal="left" vertical="top" wrapText="1"/>
    </xf>
    <xf numFmtId="0" fontId="8" fillId="42" borderId="48" xfId="0" applyFont="1" applyFill="1" applyBorder="1" applyAlignment="1">
      <alignment horizontal="center" vertical="top"/>
    </xf>
    <xf numFmtId="0" fontId="20" fillId="43" borderId="64" xfId="0" applyFont="1" applyFill="1" applyBorder="1" applyAlignment="1">
      <alignment horizontal="left" vertical="top" wrapText="1"/>
    </xf>
    <xf numFmtId="0" fontId="8" fillId="43" borderId="48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0" fontId="3" fillId="31" borderId="9" xfId="0" applyNumberFormat="1" applyFont="1" applyFill="1" applyBorder="1" applyAlignment="1">
      <alignment horizontal="right"/>
    </xf>
    <xf numFmtId="10" fontId="3" fillId="32" borderId="30" xfId="0" applyNumberFormat="1" applyFont="1" applyFill="1" applyBorder="1" applyAlignment="1">
      <alignment horizontal="right"/>
    </xf>
    <xf numFmtId="10" fontId="3" fillId="33" borderId="9" xfId="0" applyNumberFormat="1" applyFont="1" applyFill="1" applyBorder="1" applyAlignment="1">
      <alignment horizontal="right"/>
    </xf>
    <xf numFmtId="10" fontId="3" fillId="34" borderId="30" xfId="0" applyNumberFormat="1" applyFont="1" applyFill="1" applyBorder="1" applyAlignment="1">
      <alignment horizontal="right"/>
    </xf>
    <xf numFmtId="10" fontId="2" fillId="0" borderId="65" xfId="0" applyNumberFormat="1" applyFont="1" applyBorder="1" applyAlignment="1">
      <alignment vertical="top" wrapText="1"/>
    </xf>
    <xf numFmtId="0" fontId="23" fillId="0" borderId="0" xfId="0" applyFont="1"/>
    <xf numFmtId="0" fontId="24" fillId="0" borderId="0" xfId="0" applyFont="1"/>
    <xf numFmtId="0" fontId="1" fillId="11" borderId="68" xfId="0" applyFont="1" applyFill="1" applyBorder="1" applyAlignment="1">
      <alignment horizontal="center" vertical="center"/>
    </xf>
    <xf numFmtId="0" fontId="1" fillId="11" borderId="69" xfId="0" applyFont="1" applyFill="1" applyBorder="1" applyAlignment="1">
      <alignment horizontal="center" vertical="center"/>
    </xf>
    <xf numFmtId="164" fontId="2" fillId="0" borderId="72" xfId="0" applyNumberFormat="1" applyFont="1" applyBorder="1" applyAlignment="1">
      <alignment horizontal="center" vertical="center"/>
    </xf>
    <xf numFmtId="164" fontId="2" fillId="0" borderId="73" xfId="0" applyNumberFormat="1" applyFont="1" applyBorder="1" applyAlignment="1">
      <alignment horizontal="center" vertical="center"/>
    </xf>
    <xf numFmtId="0" fontId="26" fillId="11" borderId="76" xfId="0" applyFont="1" applyFill="1" applyBorder="1" applyAlignment="1">
      <alignment horizontal="center" vertical="center" wrapText="1"/>
    </xf>
    <xf numFmtId="0" fontId="26" fillId="11" borderId="77" xfId="0" applyFont="1" applyFill="1" applyBorder="1" applyAlignment="1">
      <alignment horizontal="center" vertical="center" wrapText="1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/>
    </xf>
    <xf numFmtId="0" fontId="27" fillId="0" borderId="79" xfId="0" applyFont="1" applyBorder="1" applyAlignment="1">
      <alignment horizontal="center"/>
    </xf>
    <xf numFmtId="0" fontId="24" fillId="11" borderId="80" xfId="0" applyFont="1" applyFill="1" applyBorder="1" applyAlignment="1">
      <alignment horizontal="center" vertical="center"/>
    </xf>
    <xf numFmtId="0" fontId="24" fillId="11" borderId="79" xfId="0" applyFont="1" applyFill="1" applyBorder="1" applyAlignment="1">
      <alignment horizontal="center" vertical="center"/>
    </xf>
    <xf numFmtId="0" fontId="24" fillId="11" borderId="81" xfId="0" applyFont="1" applyFill="1" applyBorder="1" applyAlignment="1">
      <alignment horizontal="left" vertical="center"/>
    </xf>
    <xf numFmtId="0" fontId="24" fillId="11" borderId="82" xfId="0" applyFont="1" applyFill="1" applyBorder="1" applyAlignment="1">
      <alignment horizontal="left" vertical="center"/>
    </xf>
    <xf numFmtId="0" fontId="27" fillId="11" borderId="76" xfId="0" applyFont="1" applyFill="1" applyBorder="1" applyAlignment="1">
      <alignment horizontal="center" vertical="center"/>
    </xf>
    <xf numFmtId="165" fontId="29" fillId="11" borderId="85" xfId="0" applyNumberFormat="1" applyFont="1" applyFill="1" applyBorder="1" applyAlignment="1">
      <alignment horizontal="center" vertical="center"/>
    </xf>
    <xf numFmtId="0" fontId="30" fillId="11" borderId="10" xfId="0" applyFont="1" applyFill="1" applyBorder="1" applyAlignment="1">
      <alignment horizontal="center" vertical="center"/>
    </xf>
    <xf numFmtId="0" fontId="2" fillId="11" borderId="87" xfId="0" applyFont="1" applyFill="1" applyBorder="1" applyAlignment="1">
      <alignment horizontal="center" vertical="center"/>
    </xf>
    <xf numFmtId="0" fontId="2" fillId="11" borderId="89" xfId="0" applyFont="1" applyFill="1" applyBorder="1" applyAlignment="1">
      <alignment horizontal="center" vertical="center"/>
    </xf>
    <xf numFmtId="0" fontId="2" fillId="11" borderId="90" xfId="0" applyFont="1" applyFill="1" applyBorder="1" applyAlignment="1">
      <alignment horizontal="center" vertical="center"/>
    </xf>
    <xf numFmtId="0" fontId="2" fillId="11" borderId="93" xfId="0" applyFont="1" applyFill="1" applyBorder="1" applyAlignment="1">
      <alignment horizontal="center" vertical="center"/>
    </xf>
    <xf numFmtId="0" fontId="2" fillId="11" borderId="94" xfId="0" applyFont="1" applyFill="1" applyBorder="1" applyAlignment="1">
      <alignment horizontal="center" vertical="center"/>
    </xf>
    <xf numFmtId="0" fontId="2" fillId="0" borderId="9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94" xfId="0" applyFont="1" applyBorder="1" applyAlignment="1">
      <alignment horizontal="center" vertical="center"/>
    </xf>
    <xf numFmtId="0" fontId="2" fillId="0" borderId="98" xfId="0" applyFont="1" applyBorder="1" applyAlignment="1">
      <alignment horizontal="center" vertical="center"/>
    </xf>
    <xf numFmtId="0" fontId="2" fillId="0" borderId="99" xfId="0" applyFont="1" applyBorder="1" applyAlignment="1">
      <alignment horizontal="center" vertical="center"/>
    </xf>
    <xf numFmtId="0" fontId="2" fillId="0" borderId="96" xfId="0" applyFont="1" applyBorder="1" applyAlignment="1">
      <alignment wrapText="1"/>
    </xf>
    <xf numFmtId="0" fontId="2" fillId="0" borderId="87" xfId="0" applyFont="1" applyBorder="1" applyAlignment="1">
      <alignment wrapText="1"/>
    </xf>
    <xf numFmtId="0" fontId="32" fillId="0" borderId="89" xfId="0" applyFont="1" applyBorder="1" applyAlignment="1">
      <alignment wrapText="1"/>
    </xf>
    <xf numFmtId="0" fontId="32" fillId="0" borderId="90" xfId="0" applyFont="1" applyBorder="1" applyAlignment="1">
      <alignment wrapText="1"/>
    </xf>
    <xf numFmtId="0" fontId="32" fillId="0" borderId="93" xfId="0" applyFont="1" applyBorder="1" applyAlignment="1">
      <alignment wrapText="1"/>
    </xf>
    <xf numFmtId="0" fontId="32" fillId="0" borderId="94" xfId="0" applyFont="1" applyBorder="1" applyAlignment="1">
      <alignment wrapText="1"/>
    </xf>
    <xf numFmtId="0" fontId="30" fillId="11" borderId="104" xfId="0" applyFont="1" applyFill="1" applyBorder="1" applyAlignment="1">
      <alignment horizontal="left" vertical="top"/>
    </xf>
    <xf numFmtId="0" fontId="30" fillId="11" borderId="105" xfId="0" applyFont="1" applyFill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49" fontId="1" fillId="11" borderId="69" xfId="0" applyNumberFormat="1" applyFont="1" applyFill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49" fontId="1" fillId="11" borderId="106" xfId="0" applyNumberFormat="1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" fillId="0" borderId="108" xfId="0" applyFont="1" applyBorder="1"/>
    <xf numFmtId="0" fontId="2" fillId="0" borderId="110" xfId="0" applyFont="1" applyBorder="1"/>
    <xf numFmtId="0" fontId="2" fillId="0" borderId="111" xfId="0" applyFont="1" applyBorder="1" applyAlignment="1">
      <alignment horizontal="center" vertical="center"/>
    </xf>
    <xf numFmtId="0" fontId="2" fillId="0" borderId="70" xfId="0" applyFont="1" applyBorder="1"/>
    <xf numFmtId="0" fontId="27" fillId="0" borderId="111" xfId="0" applyFont="1" applyBorder="1" applyAlignment="1">
      <alignment horizontal="center"/>
    </xf>
    <xf numFmtId="0" fontId="2" fillId="0" borderId="110" xfId="0" applyFont="1" applyBorder="1" applyAlignment="1">
      <alignment horizontal="center" vertical="center"/>
    </xf>
    <xf numFmtId="0" fontId="24" fillId="11" borderId="111" xfId="0" applyFont="1" applyFill="1" applyBorder="1" applyAlignment="1">
      <alignment horizontal="center" vertical="center"/>
    </xf>
    <xf numFmtId="0" fontId="2" fillId="0" borderId="110" xfId="0" applyFont="1" applyBorder="1" applyAlignment="1">
      <alignment horizontal="center"/>
    </xf>
    <xf numFmtId="0" fontId="1" fillId="0" borderId="110" xfId="0" applyFont="1" applyBorder="1" applyAlignment="1">
      <alignment horizontal="center" vertical="center"/>
    </xf>
    <xf numFmtId="165" fontId="34" fillId="0" borderId="112" xfId="0" applyNumberFormat="1" applyFont="1" applyBorder="1" applyAlignment="1">
      <alignment horizontal="center" vertical="center"/>
    </xf>
    <xf numFmtId="0" fontId="30" fillId="11" borderId="3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0" fontId="2" fillId="0" borderId="25" xfId="0" applyFont="1" applyBorder="1" applyAlignment="1">
      <alignment vertical="center"/>
    </xf>
    <xf numFmtId="0" fontId="2" fillId="0" borderId="113" xfId="0" applyFont="1" applyBorder="1" applyAlignment="1">
      <alignment horizontal="center" vertical="top"/>
    </xf>
    <xf numFmtId="0" fontId="2" fillId="11" borderId="114" xfId="0" applyFont="1" applyFill="1" applyBorder="1" applyAlignment="1">
      <alignment horizontal="center" vertical="center"/>
    </xf>
    <xf numFmtId="0" fontId="2" fillId="0" borderId="110" xfId="0" applyFont="1" applyBorder="1" applyAlignment="1">
      <alignment horizontal="center" vertical="top"/>
    </xf>
    <xf numFmtId="0" fontId="2" fillId="11" borderId="115" xfId="0" applyFont="1" applyFill="1" applyBorder="1" applyAlignment="1">
      <alignment horizontal="center" vertical="center"/>
    </xf>
    <xf numFmtId="0" fontId="2" fillId="0" borderId="116" xfId="0" applyFont="1" applyBorder="1" applyAlignment="1">
      <alignment horizontal="center" vertical="top"/>
    </xf>
    <xf numFmtId="0" fontId="2" fillId="0" borderId="117" xfId="0" applyFont="1" applyBorder="1" applyAlignment="1">
      <alignment horizontal="center" vertical="center"/>
    </xf>
    <xf numFmtId="0" fontId="2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2" xfId="0" applyFont="1" applyBorder="1" applyAlignment="1">
      <alignment horizontal="center" vertical="top"/>
    </xf>
    <xf numFmtId="0" fontId="2" fillId="0" borderId="118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top"/>
    </xf>
    <xf numFmtId="0" fontId="2" fillId="0" borderId="117" xfId="0" applyFont="1" applyBorder="1" applyAlignment="1">
      <alignment wrapText="1"/>
    </xf>
    <xf numFmtId="0" fontId="2" fillId="0" borderId="113" xfId="0" applyFont="1" applyBorder="1"/>
    <xf numFmtId="0" fontId="32" fillId="0" borderId="114" xfId="0" applyFont="1" applyBorder="1" applyAlignment="1">
      <alignment wrapText="1"/>
    </xf>
    <xf numFmtId="0" fontId="32" fillId="0" borderId="115" xfId="0" applyFont="1" applyBorder="1" applyAlignment="1">
      <alignment wrapText="1"/>
    </xf>
    <xf numFmtId="0" fontId="2" fillId="0" borderId="112" xfId="0" applyFont="1" applyBorder="1"/>
    <xf numFmtId="0" fontId="2" fillId="0" borderId="108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164" fontId="26" fillId="11" borderId="77" xfId="0" applyNumberFormat="1" applyFont="1" applyFill="1" applyBorder="1" applyAlignment="1">
      <alignment horizontal="center" vertical="center" wrapText="1"/>
    </xf>
    <xf numFmtId="164" fontId="26" fillId="11" borderId="109" xfId="0" applyNumberFormat="1" applyFont="1" applyFill="1" applyBorder="1" applyAlignment="1">
      <alignment horizontal="center" vertical="center" wrapText="1"/>
    </xf>
    <xf numFmtId="22" fontId="2" fillId="0" borderId="73" xfId="0" applyNumberFormat="1" applyFont="1" applyBorder="1" applyAlignment="1">
      <alignment horizontal="center" vertical="center"/>
    </xf>
    <xf numFmtId="0" fontId="2" fillId="7" borderId="0" xfId="0" quotePrefix="1" applyFont="1" applyFill="1" applyBorder="1" applyAlignment="1">
      <alignment horizontal="right"/>
    </xf>
    <xf numFmtId="0" fontId="2" fillId="14" borderId="0" xfId="0" quotePrefix="1" applyFont="1" applyFill="1" applyBorder="1" applyAlignment="1">
      <alignment horizontal="right"/>
    </xf>
    <xf numFmtId="0" fontId="36" fillId="0" borderId="0" xfId="0" applyFont="1" applyAlignment="1"/>
    <xf numFmtId="0" fontId="36" fillId="0" borderId="0" xfId="0" applyFont="1" applyAlignment="1">
      <alignment horizontal="center"/>
    </xf>
    <xf numFmtId="22" fontId="36" fillId="0" borderId="0" xfId="0" applyNumberFormat="1" applyFont="1" applyAlignment="1">
      <alignment horizontal="center"/>
    </xf>
    <xf numFmtId="0" fontId="2" fillId="0" borderId="87" xfId="0" applyFont="1" applyBorder="1" applyAlignment="1">
      <alignment vertical="center" wrapText="1"/>
    </xf>
    <xf numFmtId="0" fontId="2" fillId="0" borderId="87" xfId="0" applyFont="1" applyBorder="1" applyAlignment="1">
      <alignment horizontal="center" vertical="center" wrapText="1"/>
    </xf>
    <xf numFmtId="22" fontId="2" fillId="0" borderId="10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2" fillId="0" borderId="16" xfId="0" applyFont="1" applyBorder="1"/>
    <xf numFmtId="0" fontId="2" fillId="0" borderId="27" xfId="0" applyFont="1" applyBorder="1"/>
    <xf numFmtId="0" fontId="2" fillId="0" borderId="25" xfId="0" applyFont="1" applyBorder="1"/>
    <xf numFmtId="0" fontId="0" fillId="0" borderId="0" xfId="0" applyFont="1" applyAlignment="1"/>
    <xf numFmtId="0" fontId="2" fillId="0" borderId="28" xfId="0" applyFont="1" applyBorder="1"/>
    <xf numFmtId="0" fontId="2" fillId="0" borderId="26" xfId="0" applyFont="1" applyBorder="1"/>
    <xf numFmtId="0" fontId="2" fillId="0" borderId="18" xfId="0" applyFont="1" applyBorder="1"/>
    <xf numFmtId="0" fontId="2" fillId="0" borderId="30" xfId="0" applyFont="1" applyBorder="1"/>
    <xf numFmtId="0" fontId="2" fillId="0" borderId="71" xfId="0" applyFont="1" applyBorder="1"/>
    <xf numFmtId="0" fontId="30" fillId="11" borderId="102" xfId="0" applyFont="1" applyFill="1" applyBorder="1" applyAlignment="1">
      <alignment horizontal="left" vertical="top"/>
    </xf>
    <xf numFmtId="0" fontId="30" fillId="11" borderId="103" xfId="0" applyFont="1" applyFill="1" applyBorder="1" applyAlignment="1">
      <alignment horizontal="left" vertical="top"/>
    </xf>
    <xf numFmtId="0" fontId="1" fillId="0" borderId="24" xfId="0" applyFont="1" applyBorder="1"/>
    <xf numFmtId="0" fontId="1" fillId="2" borderId="0" xfId="0" applyFont="1" applyFill="1" applyBorder="1" applyAlignment="1">
      <alignment horizontal="center"/>
    </xf>
    <xf numFmtId="0" fontId="29" fillId="11" borderId="10" xfId="0" applyFont="1" applyFill="1" applyBorder="1" applyAlignment="1">
      <alignment horizontal="center" vertical="center"/>
    </xf>
    <xf numFmtId="0" fontId="8" fillId="46" borderId="6" xfId="0" applyFont="1" applyFill="1" applyBorder="1" applyAlignment="1">
      <alignment horizontal="center" vertical="center"/>
    </xf>
    <xf numFmtId="0" fontId="8" fillId="46" borderId="95" xfId="0" applyFont="1" applyFill="1" applyBorder="1" applyAlignment="1">
      <alignment horizontal="center" vertical="center" wrapText="1"/>
    </xf>
    <xf numFmtId="0" fontId="8" fillId="46" borderId="95" xfId="0" applyFont="1" applyFill="1" applyBorder="1" applyAlignment="1">
      <alignment vertical="center" wrapText="1"/>
    </xf>
    <xf numFmtId="0" fontId="8" fillId="46" borderId="95" xfId="0" applyFont="1" applyFill="1" applyBorder="1" applyAlignment="1">
      <alignment horizontal="center" vertical="center"/>
    </xf>
    <xf numFmtId="0" fontId="8" fillId="46" borderId="23" xfId="0" applyFont="1" applyFill="1" applyBorder="1" applyAlignment="1">
      <alignment horizontal="center" vertical="center"/>
    </xf>
    <xf numFmtId="0" fontId="8" fillId="46" borderId="88" xfId="0" applyFont="1" applyFill="1" applyBorder="1" applyAlignment="1">
      <alignment horizontal="center" vertical="center" wrapText="1"/>
    </xf>
    <xf numFmtId="0" fontId="8" fillId="46" borderId="88" xfId="0" applyFont="1" applyFill="1" applyBorder="1" applyAlignment="1">
      <alignment vertical="center" wrapText="1"/>
    </xf>
    <xf numFmtId="0" fontId="8" fillId="46" borderId="88" xfId="0" applyFont="1" applyFill="1" applyBorder="1" applyAlignment="1">
      <alignment horizontal="center" vertical="center"/>
    </xf>
    <xf numFmtId="0" fontId="8" fillId="47" borderId="97" xfId="0" applyFont="1" applyFill="1" applyBorder="1" applyAlignment="1">
      <alignment horizontal="center" vertical="center"/>
    </xf>
    <xf numFmtId="0" fontId="8" fillId="47" borderId="86" xfId="0" applyFont="1" applyFill="1" applyBorder="1" applyAlignment="1">
      <alignment horizontal="center" vertical="center" wrapText="1"/>
    </xf>
    <xf numFmtId="0" fontId="8" fillId="47" borderId="86" xfId="0" applyFont="1" applyFill="1" applyBorder="1" applyAlignment="1">
      <alignment vertical="center" wrapText="1"/>
    </xf>
    <xf numFmtId="0" fontId="8" fillId="47" borderId="86" xfId="0" applyFont="1" applyFill="1" applyBorder="1" applyAlignment="1">
      <alignment horizontal="center" vertical="center"/>
    </xf>
    <xf numFmtId="0" fontId="8" fillId="47" borderId="23" xfId="0" applyFont="1" applyFill="1" applyBorder="1" applyAlignment="1">
      <alignment horizontal="center" vertical="center"/>
    </xf>
    <xf numFmtId="0" fontId="40" fillId="47" borderId="88" xfId="0" applyFont="1" applyFill="1" applyBorder="1" applyAlignment="1">
      <alignment horizontal="center" vertical="center" wrapText="1"/>
    </xf>
    <xf numFmtId="0" fontId="40" fillId="47" borderId="88" xfId="0" applyFont="1" applyFill="1" applyBorder="1" applyAlignment="1">
      <alignment vertical="center" wrapText="1"/>
    </xf>
    <xf numFmtId="0" fontId="40" fillId="47" borderId="88" xfId="0" applyFont="1" applyFill="1" applyBorder="1" applyAlignment="1">
      <alignment horizontal="center" vertical="center"/>
    </xf>
    <xf numFmtId="0" fontId="8" fillId="47" borderId="91" xfId="0" applyFont="1" applyFill="1" applyBorder="1" applyAlignment="1">
      <alignment horizontal="center" vertical="center"/>
    </xf>
    <xf numFmtId="0" fontId="8" fillId="47" borderId="92" xfId="0" applyFont="1" applyFill="1" applyBorder="1" applyAlignment="1">
      <alignment horizontal="center" vertical="center" wrapText="1"/>
    </xf>
    <xf numFmtId="0" fontId="8" fillId="47" borderId="92" xfId="0" applyFont="1" applyFill="1" applyBorder="1" applyAlignment="1">
      <alignment vertical="center" wrapText="1"/>
    </xf>
    <xf numFmtId="0" fontId="8" fillId="47" borderId="92" xfId="0" applyFont="1" applyFill="1" applyBorder="1" applyAlignment="1">
      <alignment horizontal="center" vertical="center"/>
    </xf>
    <xf numFmtId="0" fontId="8" fillId="12" borderId="6" xfId="0" applyFont="1" applyFill="1" applyBorder="1" applyAlignment="1">
      <alignment horizontal="center" vertical="center"/>
    </xf>
    <xf numFmtId="0" fontId="8" fillId="12" borderId="95" xfId="0" applyFont="1" applyFill="1" applyBorder="1" applyAlignment="1">
      <alignment horizontal="center" vertical="center" wrapText="1"/>
    </xf>
    <xf numFmtId="0" fontId="8" fillId="12" borderId="95" xfId="0" applyFont="1" applyFill="1" applyBorder="1" applyAlignment="1">
      <alignment vertical="center" wrapText="1"/>
    </xf>
    <xf numFmtId="0" fontId="8" fillId="12" borderId="95" xfId="0" applyFont="1" applyFill="1" applyBorder="1" applyAlignment="1">
      <alignment horizontal="center" vertical="center"/>
    </xf>
    <xf numFmtId="0" fontId="8" fillId="12" borderId="91" xfId="0" applyFont="1" applyFill="1" applyBorder="1" applyAlignment="1">
      <alignment horizontal="center" vertical="center"/>
    </xf>
    <xf numFmtId="0" fontId="8" fillId="12" borderId="92" xfId="0" applyFont="1" applyFill="1" applyBorder="1" applyAlignment="1">
      <alignment horizontal="center" vertical="center" wrapText="1"/>
    </xf>
    <xf numFmtId="0" fontId="8" fillId="12" borderId="92" xfId="0" applyFont="1" applyFill="1" applyBorder="1" applyAlignment="1">
      <alignment vertical="center" wrapText="1"/>
    </xf>
    <xf numFmtId="0" fontId="8" fillId="12" borderId="92" xfId="0" applyFont="1" applyFill="1" applyBorder="1" applyAlignment="1">
      <alignment horizontal="center" vertical="center"/>
    </xf>
    <xf numFmtId="0" fontId="8" fillId="48" borderId="6" xfId="0" applyFont="1" applyFill="1" applyBorder="1" applyAlignment="1">
      <alignment horizontal="center" vertical="center"/>
    </xf>
    <xf numFmtId="0" fontId="8" fillId="48" borderId="86" xfId="0" applyFont="1" applyFill="1" applyBorder="1" applyAlignment="1">
      <alignment horizontal="center" vertical="center" wrapText="1"/>
    </xf>
    <xf numFmtId="0" fontId="8" fillId="48" borderId="86" xfId="0" applyFont="1" applyFill="1" applyBorder="1" applyAlignment="1">
      <alignment vertical="center" wrapText="1"/>
    </xf>
    <xf numFmtId="0" fontId="8" fillId="48" borderId="86" xfId="0" applyFont="1" applyFill="1" applyBorder="1" applyAlignment="1">
      <alignment horizontal="center" vertical="center"/>
    </xf>
    <xf numFmtId="0" fontId="8" fillId="48" borderId="23" xfId="0" applyFont="1" applyFill="1" applyBorder="1" applyAlignment="1">
      <alignment horizontal="center" vertical="center"/>
    </xf>
    <xf numFmtId="0" fontId="8" fillId="48" borderId="88" xfId="0" applyFont="1" applyFill="1" applyBorder="1" applyAlignment="1">
      <alignment horizontal="center" vertical="center" wrapText="1"/>
    </xf>
    <xf numFmtId="0" fontId="8" fillId="48" borderId="88" xfId="0" applyFont="1" applyFill="1" applyBorder="1" applyAlignment="1">
      <alignment vertical="center" wrapText="1"/>
    </xf>
    <xf numFmtId="0" fontId="8" fillId="48" borderId="88" xfId="0" applyFont="1" applyFill="1" applyBorder="1" applyAlignment="1">
      <alignment horizontal="center" vertical="center"/>
    </xf>
    <xf numFmtId="0" fontId="8" fillId="48" borderId="91" xfId="0" applyFont="1" applyFill="1" applyBorder="1" applyAlignment="1">
      <alignment horizontal="center" vertical="center"/>
    </xf>
    <xf numFmtId="0" fontId="8" fillId="48" borderId="92" xfId="0" applyFont="1" applyFill="1" applyBorder="1" applyAlignment="1">
      <alignment horizontal="center" vertical="center" wrapText="1"/>
    </xf>
    <xf numFmtId="0" fontId="8" fillId="48" borderId="92" xfId="0" applyFont="1" applyFill="1" applyBorder="1" applyAlignment="1">
      <alignment vertical="center" wrapText="1"/>
    </xf>
    <xf numFmtId="0" fontId="8" fillId="48" borderId="92" xfId="0" applyFont="1" applyFill="1" applyBorder="1" applyAlignment="1">
      <alignment horizontal="center" vertical="center"/>
    </xf>
    <xf numFmtId="22" fontId="36" fillId="0" borderId="119" xfId="0" applyNumberFormat="1" applyFont="1" applyBorder="1" applyAlignment="1"/>
    <xf numFmtId="0" fontId="36" fillId="0" borderId="120" xfId="0" applyFont="1" applyBorder="1" applyAlignment="1"/>
    <xf numFmtId="0" fontId="36" fillId="0" borderId="121" xfId="0" applyFont="1" applyBorder="1" applyAlignment="1">
      <alignment horizontal="center"/>
    </xf>
    <xf numFmtId="22" fontId="36" fillId="0" borderId="123" xfId="0" applyNumberFormat="1" applyFont="1" applyBorder="1" applyAlignment="1">
      <alignment horizontal="center"/>
    </xf>
    <xf numFmtId="22" fontId="2" fillId="0" borderId="119" xfId="0" applyNumberFormat="1" applyFont="1" applyBorder="1" applyAlignment="1">
      <alignment horizontal="center" vertical="center"/>
    </xf>
    <xf numFmtId="22" fontId="36" fillId="0" borderId="123" xfId="0" applyNumberFormat="1" applyFont="1" applyBorder="1" applyAlignment="1"/>
    <xf numFmtId="164" fontId="26" fillId="11" borderId="76" xfId="0" applyNumberFormat="1" applyFont="1" applyFill="1" applyBorder="1" applyAlignment="1">
      <alignment horizontal="center" vertical="center" wrapText="1"/>
    </xf>
    <xf numFmtId="0" fontId="36" fillId="0" borderId="125" xfId="0" applyFont="1" applyBorder="1" applyAlignment="1">
      <alignment horizontal="center"/>
    </xf>
    <xf numFmtId="0" fontId="37" fillId="0" borderId="126" xfId="0" applyFont="1" applyBorder="1" applyAlignment="1"/>
    <xf numFmtId="0" fontId="27" fillId="0" borderId="80" xfId="0" applyFont="1" applyBorder="1" applyAlignment="1">
      <alignment horizontal="center"/>
    </xf>
    <xf numFmtId="22" fontId="36" fillId="0" borderId="127" xfId="0" applyNumberFormat="1" applyFont="1" applyBorder="1" applyAlignment="1">
      <alignment horizontal="center"/>
    </xf>
    <xf numFmtId="0" fontId="36" fillId="0" borderId="126" xfId="0" applyFont="1" applyBorder="1" applyAlignment="1">
      <alignment horizontal="center"/>
    </xf>
    <xf numFmtId="0" fontId="36" fillId="0" borderId="128" xfId="0" applyFont="1" applyBorder="1" applyAlignment="1">
      <alignment horizontal="center"/>
    </xf>
    <xf numFmtId="0" fontId="27" fillId="0" borderId="129" xfId="0" applyFont="1" applyBorder="1" applyAlignment="1">
      <alignment horizontal="center"/>
    </xf>
    <xf numFmtId="0" fontId="24" fillId="11" borderId="129" xfId="0" applyFont="1" applyFill="1" applyBorder="1" applyAlignment="1">
      <alignment horizontal="center" vertical="center"/>
    </xf>
    <xf numFmtId="0" fontId="2" fillId="0" borderId="122" xfId="0" applyFont="1" applyBorder="1" applyAlignment="1">
      <alignment horizontal="center" vertical="center"/>
    </xf>
    <xf numFmtId="0" fontId="2" fillId="0" borderId="130" xfId="0" applyFont="1" applyBorder="1" applyAlignment="1">
      <alignment horizontal="center" vertical="center"/>
    </xf>
    <xf numFmtId="22" fontId="36" fillId="0" borderId="127" xfId="0" applyNumberFormat="1" applyFont="1" applyBorder="1" applyAlignment="1">
      <alignment horizontal="center" vertical="center"/>
    </xf>
    <xf numFmtId="0" fontId="36" fillId="0" borderId="126" xfId="0" applyFont="1" applyBorder="1" applyAlignment="1">
      <alignment horizontal="center" vertical="center"/>
    </xf>
    <xf numFmtId="0" fontId="36" fillId="0" borderId="128" xfId="0" applyFont="1" applyBorder="1" applyAlignment="1">
      <alignment horizontal="center" vertical="center"/>
    </xf>
    <xf numFmtId="0" fontId="27" fillId="0" borderId="131" xfId="0" applyFont="1" applyBorder="1" applyAlignment="1">
      <alignment horizontal="center"/>
    </xf>
    <xf numFmtId="0" fontId="24" fillId="11" borderId="131" xfId="0" applyFont="1" applyFill="1" applyBorder="1" applyAlignment="1">
      <alignment horizontal="center" vertical="center"/>
    </xf>
    <xf numFmtId="0" fontId="27" fillId="11" borderId="131" xfId="0" applyFont="1" applyFill="1" applyBorder="1" applyAlignment="1">
      <alignment horizontal="center" vertical="center"/>
    </xf>
    <xf numFmtId="0" fontId="2" fillId="0" borderId="132" xfId="0" applyFont="1" applyBorder="1" applyAlignment="1">
      <alignment horizontal="center" vertical="center"/>
    </xf>
    <xf numFmtId="22" fontId="36" fillId="0" borderId="133" xfId="0" applyNumberFormat="1" applyFont="1" applyBorder="1" applyAlignment="1">
      <alignment horizontal="center"/>
    </xf>
    <xf numFmtId="0" fontId="36" fillId="0" borderId="124" xfId="0" applyFont="1" applyBorder="1" applyAlignment="1">
      <alignment horizontal="center"/>
    </xf>
    <xf numFmtId="0" fontId="36" fillId="0" borderId="134" xfId="0" applyFont="1" applyBorder="1" applyAlignment="1">
      <alignment horizontal="center"/>
    </xf>
    <xf numFmtId="0" fontId="36" fillId="0" borderId="135" xfId="0" applyFont="1" applyBorder="1" applyAlignment="1">
      <alignment horizontal="center"/>
    </xf>
    <xf numFmtId="0" fontId="36" fillId="0" borderId="135" xfId="0" applyFont="1" applyBorder="1" applyAlignment="1"/>
    <xf numFmtId="0" fontId="36" fillId="0" borderId="136" xfId="0" applyFont="1" applyBorder="1" applyAlignment="1">
      <alignment horizontal="center"/>
    </xf>
    <xf numFmtId="0" fontId="27" fillId="0" borderId="124" xfId="0" applyFont="1" applyBorder="1" applyAlignment="1">
      <alignment horizontal="center"/>
    </xf>
    <xf numFmtId="0" fontId="24" fillId="11" borderId="132" xfId="0" applyFont="1" applyFill="1" applyBorder="1" applyAlignment="1">
      <alignment horizontal="center" vertical="center"/>
    </xf>
    <xf numFmtId="0" fontId="30" fillId="11" borderId="100" xfId="0" applyFont="1" applyFill="1" applyBorder="1" applyAlignment="1">
      <alignment horizontal="left" vertical="top"/>
    </xf>
    <xf numFmtId="0" fontId="2" fillId="0" borderId="101" xfId="0" applyFont="1" applyBorder="1" applyAlignment="1"/>
    <xf numFmtId="0" fontId="30" fillId="11" borderId="102" xfId="0" applyFont="1" applyFill="1" applyBorder="1" applyAlignment="1">
      <alignment horizontal="left" vertical="top"/>
    </xf>
    <xf numFmtId="0" fontId="2" fillId="0" borderId="103" xfId="0" applyFont="1" applyBorder="1" applyAlignment="1"/>
    <xf numFmtId="0" fontId="28" fillId="11" borderId="83" xfId="0" applyFont="1" applyFill="1" applyBorder="1" applyAlignment="1">
      <alignment horizontal="left" vertical="center"/>
    </xf>
    <xf numFmtId="0" fontId="2" fillId="0" borderId="84" xfId="0" applyFont="1" applyBorder="1" applyAlignment="1"/>
    <xf numFmtId="0" fontId="31" fillId="0" borderId="24" xfId="0" applyFont="1" applyBorder="1" applyAlignment="1">
      <alignment horizontal="center" vertical="center"/>
    </xf>
    <xf numFmtId="0" fontId="2" fillId="0" borderId="16" xfId="0" applyFont="1" applyBorder="1" applyAlignment="1"/>
    <xf numFmtId="0" fontId="2" fillId="0" borderId="27" xfId="0" applyFont="1" applyBorder="1" applyAlignment="1"/>
    <xf numFmtId="0" fontId="2" fillId="0" borderId="25" xfId="0" applyFont="1" applyBorder="1" applyAlignment="1"/>
    <xf numFmtId="0" fontId="0" fillId="0" borderId="0" xfId="0" applyFont="1" applyAlignment="1"/>
    <xf numFmtId="0" fontId="2" fillId="0" borderId="28" xfId="0" applyFont="1" applyBorder="1" applyAlignment="1"/>
    <xf numFmtId="0" fontId="2" fillId="0" borderId="26" xfId="0" applyFont="1" applyBorder="1" applyAlignment="1"/>
    <xf numFmtId="0" fontId="2" fillId="0" borderId="18" xfId="0" applyFont="1" applyBorder="1" applyAlignment="1"/>
    <xf numFmtId="0" fontId="2" fillId="0" borderId="30" xfId="0" applyFont="1" applyBorder="1" applyAlignment="1"/>
    <xf numFmtId="0" fontId="1" fillId="0" borderId="100" xfId="0" applyFont="1" applyBorder="1" applyAlignment="1">
      <alignment horizontal="left" vertical="center" wrapText="1"/>
    </xf>
    <xf numFmtId="0" fontId="1" fillId="0" borderId="102" xfId="0" applyFont="1" applyBorder="1" applyAlignment="1">
      <alignment horizontal="left" vertical="center" wrapText="1"/>
    </xf>
    <xf numFmtId="0" fontId="1" fillId="0" borderId="104" xfId="0" applyFont="1" applyBorder="1" applyAlignment="1">
      <alignment horizontal="left" vertical="center" wrapText="1"/>
    </xf>
    <xf numFmtId="0" fontId="2" fillId="0" borderId="105" xfId="0" applyFont="1" applyBorder="1" applyAlignment="1"/>
    <xf numFmtId="0" fontId="1" fillId="11" borderId="33" xfId="0" applyFont="1" applyFill="1" applyBorder="1" applyAlignment="1">
      <alignment horizontal="left" vertical="center"/>
    </xf>
    <xf numFmtId="0" fontId="2" fillId="0" borderId="9" xfId="0" applyFont="1" applyBorder="1" applyAlignment="1"/>
    <xf numFmtId="0" fontId="1" fillId="11" borderId="70" xfId="0" applyFont="1" applyFill="1" applyBorder="1" applyAlignment="1">
      <alignment horizontal="left" vertical="center"/>
    </xf>
    <xf numFmtId="0" fontId="2" fillId="0" borderId="71" xfId="0" applyFont="1" applyBorder="1" applyAlignment="1"/>
    <xf numFmtId="0" fontId="1" fillId="11" borderId="74" xfId="0" applyFont="1" applyFill="1" applyBorder="1" applyAlignment="1">
      <alignment horizontal="left" vertical="center"/>
    </xf>
    <xf numFmtId="0" fontId="2" fillId="0" borderId="75" xfId="0" applyFont="1" applyBorder="1" applyAlignment="1"/>
    <xf numFmtId="0" fontId="24" fillId="11" borderId="74" xfId="0" applyFont="1" applyFill="1" applyBorder="1" applyAlignment="1">
      <alignment horizontal="left" vertical="center"/>
    </xf>
    <xf numFmtId="0" fontId="33" fillId="11" borderId="24" xfId="0" applyFont="1" applyFill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top" wrapText="1"/>
    </xf>
    <xf numFmtId="0" fontId="16" fillId="35" borderId="24" xfId="0" applyFont="1" applyFill="1" applyBorder="1" applyAlignment="1">
      <alignment vertical="center"/>
    </xf>
    <xf numFmtId="10" fontId="22" fillId="35" borderId="65" xfId="0" applyNumberFormat="1" applyFont="1" applyFill="1" applyBorder="1" applyAlignment="1">
      <alignment vertical="center"/>
    </xf>
    <xf numFmtId="0" fontId="2" fillId="0" borderId="66" xfId="0" applyFont="1" applyBorder="1" applyAlignment="1"/>
    <xf numFmtId="0" fontId="2" fillId="0" borderId="67" xfId="0" applyFont="1" applyBorder="1" applyAlignment="1"/>
    <xf numFmtId="0" fontId="1" fillId="0" borderId="33" xfId="0" applyFont="1" applyBorder="1" applyAlignment="1">
      <alignment horizontal="center"/>
    </xf>
    <xf numFmtId="0" fontId="1" fillId="0" borderId="24" xfId="0" applyFont="1" applyBorder="1" applyAlignment="1"/>
    <xf numFmtId="0" fontId="13" fillId="31" borderId="24" xfId="0" applyFont="1" applyFill="1" applyBorder="1" applyAlignment="1">
      <alignment horizontal="center"/>
    </xf>
    <xf numFmtId="0" fontId="13" fillId="34" borderId="25" xfId="0" applyFont="1" applyFill="1" applyBorder="1" applyAlignment="1">
      <alignment horizontal="center"/>
    </xf>
    <xf numFmtId="0" fontId="13" fillId="44" borderId="25" xfId="0" applyFont="1" applyFill="1" applyBorder="1" applyAlignment="1">
      <alignment horizontal="center" vertical="top" wrapText="1"/>
    </xf>
    <xf numFmtId="0" fontId="13" fillId="45" borderId="25" xfId="0" applyFont="1" applyFill="1" applyBorder="1" applyAlignment="1">
      <alignment horizontal="center" vertical="top" wrapText="1"/>
    </xf>
    <xf numFmtId="0" fontId="13" fillId="32" borderId="25" xfId="0" applyFont="1" applyFill="1" applyBorder="1" applyAlignment="1">
      <alignment horizontal="center"/>
    </xf>
    <xf numFmtId="0" fontId="13" fillId="33" borderId="25" xfId="0" applyFont="1" applyFill="1" applyBorder="1" applyAlignment="1">
      <alignment horizontal="center"/>
    </xf>
    <xf numFmtId="0" fontId="3" fillId="6" borderId="0" xfId="0" applyFont="1" applyFill="1" applyBorder="1" applyAlignment="1"/>
    <xf numFmtId="0" fontId="2" fillId="0" borderId="0" xfId="0" applyFont="1" applyBorder="1" applyAlignment="1"/>
    <xf numFmtId="0" fontId="11" fillId="26" borderId="33" xfId="0" applyFont="1" applyFill="1" applyBorder="1" applyAlignment="1">
      <alignment horizontal="center"/>
    </xf>
    <xf numFmtId="0" fontId="2" fillId="0" borderId="34" xfId="0" applyFont="1" applyBorder="1" applyAlignment="1"/>
    <xf numFmtId="0" fontId="7" fillId="23" borderId="0" xfId="0" applyFont="1" applyFill="1" applyBorder="1" applyAlignment="1">
      <alignment horizontal="center" vertical="center"/>
    </xf>
    <xf numFmtId="0" fontId="8" fillId="27" borderId="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3" xfId="0" applyFont="1" applyBorder="1" applyAlignment="1"/>
    <xf numFmtId="0" fontId="3" fillId="6" borderId="0" xfId="0" applyFont="1" applyFill="1" applyBorder="1" applyAlignment="1">
      <alignment horizontal="center"/>
    </xf>
    <xf numFmtId="0" fontId="2" fillId="22" borderId="0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/>
    </xf>
    <xf numFmtId="0" fontId="2" fillId="24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</cellXfs>
  <cellStyles count="1">
    <cellStyle name="Normal" xfId="0" builtinId="0"/>
  </cellStyles>
  <dxfs count="33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none"/>
      </fill>
    </dxf>
    <dxf>
      <font>
        <b/>
        <color rgb="FFDB0322"/>
      </font>
      <fill>
        <patternFill patternType="none"/>
      </fill>
    </dxf>
    <dxf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00B050"/>
      </font>
      <fill>
        <patternFill patternType="none"/>
      </fill>
    </dxf>
    <dxf>
      <font>
        <b/>
        <color rgb="FFFF0000"/>
      </font>
      <fill>
        <patternFill patternType="none"/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4F81BD"/>
          <bgColor rgb="FF4F81BD"/>
        </patternFill>
      </fill>
    </dxf>
    <dxf>
      <fill>
        <patternFill patternType="solid">
          <fgColor rgb="FFF2DBDB"/>
          <bgColor rgb="FFF2DBDB"/>
        </patternFill>
      </fill>
    </dxf>
    <dxf>
      <fill>
        <patternFill patternType="solid">
          <fgColor rgb="FFE5B8B7"/>
          <bgColor rgb="FFE5B8B7"/>
        </patternFill>
      </fill>
    </dxf>
    <dxf>
      <fill>
        <patternFill patternType="solid">
          <fgColor rgb="FFC0504D"/>
          <bgColor rgb="FFC0504D"/>
        </patternFill>
      </fill>
    </dxf>
  </dxfs>
  <tableStyles count="2">
    <tableStyle name="Param-style" pivot="0" count="3" xr9:uid="{00000000-0011-0000-FFFF-FFFF00000000}">
      <tableStyleElement type="headerRow" dxfId="32"/>
      <tableStyleElement type="firstRowStripe" dxfId="31"/>
      <tableStyleElement type="secondRowStripe" dxfId="30"/>
    </tableStyle>
    <tableStyle name="Param-style 2" pivot="0" count="3" xr9:uid="{00000000-0011-0000-FFFF-FFFF01000000}">
      <tableStyleElement type="headerRow" dxfId="29"/>
      <tableStyleElement type="firstRowStripe" dxfId="28"/>
      <tableStyleElement type="secondRowStrip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Q2:Y30">
  <tableColumns count="9">
    <tableColumn id="1" xr3:uid="{00000000-0010-0000-0000-000001000000}" name="SiteList" dataDxfId="16">
      <calculatedColumnFormula>T3</calculatedColumnFormula>
    </tableColumn>
    <tableColumn id="2" xr3:uid="{00000000-0010-0000-0000-000002000000}" name="Sequence" dataDxfId="15"/>
    <tableColumn id="3" xr3:uid="{00000000-0010-0000-0000-000003000000}" name="SiteCd" dataDxfId="14"/>
    <tableColumn id="4" xr3:uid="{00000000-0010-0000-0000-000004000000}" name="SiteList2" dataDxfId="13"/>
    <tableColumn id="5" xr3:uid="{00000000-0010-0000-0000-000005000000}" name="Type" dataDxfId="12"/>
    <tableColumn id="6" xr3:uid="{00000000-0010-0000-0000-000006000000}" name="Corporation" dataDxfId="11"/>
    <tableColumn id="7" xr3:uid="{00000000-0010-0000-0000-000007000000}" name="City" dataDxfId="10"/>
    <tableColumn id="8" xr3:uid="{00000000-0010-0000-0000-000008000000}" name="Country" dataDxfId="9"/>
    <tableColumn id="9" xr3:uid="{00000000-0010-0000-0000-000009000000}" name="Country2" dataDxfId="8"/>
  </tableColumns>
  <tableStyleInfo name="Param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E2:AL104">
  <tableColumns count="8">
    <tableColumn id="1" xr3:uid="{00000000-0010-0000-0100-000001000000}" name="Column1" dataDxfId="7">
      <calculatedColumnFormula>AG3</calculatedColumnFormula>
    </tableColumn>
    <tableColumn id="2" xr3:uid="{00000000-0010-0000-0100-000002000000}" name="Sequence" dataDxfId="6"/>
    <tableColumn id="3" xr3:uid="{00000000-0010-0000-0100-000003000000}" name="Product Name" dataDxfId="5"/>
    <tableColumn id="4" xr3:uid="{00000000-0010-0000-0100-000004000000}" name="Work Type" dataDxfId="4"/>
    <tableColumn id="5" xr3:uid="{00000000-0010-0000-0100-000005000000}" name="Brand" dataDxfId="3"/>
    <tableColumn id="6" xr3:uid="{00000000-0010-0000-0100-000006000000}" name="Area/Region" dataDxfId="2"/>
    <tableColumn id="7" xr3:uid="{00000000-0010-0000-0100-000007000000}" name="Focus" dataDxfId="1"/>
    <tableColumn id="8" xr3:uid="{00000000-0010-0000-0100-000008000000}" name="Status" dataDxfId="0"/>
  </tableColumns>
  <tableStyleInfo name="Param-style 2" showFirstColumn="1" showLastColumn="1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CD4F-9992-4A1C-9537-ED94578BA2D2}">
  <dimension ref="A1:AC1000"/>
  <sheetViews>
    <sheetView tabSelected="1" zoomScale="80" zoomScaleNormal="80" workbookViewId="0">
      <selection activeCell="D21" sqref="D21"/>
    </sheetView>
  </sheetViews>
  <sheetFormatPr defaultColWidth="14.44140625" defaultRowHeight="13.2"/>
  <cols>
    <col min="1" max="1" width="4.6640625" style="305" customWidth="1"/>
    <col min="2" max="2" width="18.6640625" style="305" customWidth="1"/>
    <col min="3" max="3" width="55" style="305" customWidth="1"/>
    <col min="4" max="4" width="39.44140625" style="305" customWidth="1"/>
    <col min="5" max="5" width="10.88671875" style="305" customWidth="1"/>
    <col min="6" max="6" width="19.6640625" style="305" customWidth="1"/>
    <col min="7" max="11" width="19.5546875" style="305" customWidth="1"/>
    <col min="12" max="12" width="20.109375" style="305" customWidth="1"/>
    <col min="13" max="25" width="19.5546875" style="305" customWidth="1"/>
    <col min="26" max="26" width="17.5546875" style="305" customWidth="1"/>
    <col min="27" max="27" width="32.88671875" style="305" customWidth="1"/>
    <col min="28" max="29" width="9.109375" style="305" customWidth="1"/>
    <col min="30" max="16384" width="14.44140625" style="305"/>
  </cols>
  <sheetData>
    <row r="1" spans="1:29" ht="12.75" customHeight="1" thickBot="1">
      <c r="A1" s="419" t="s">
        <v>550</v>
      </c>
      <c r="B1" s="399"/>
      <c r="C1" s="400"/>
      <c r="D1" s="411" t="s">
        <v>0</v>
      </c>
      <c r="E1" s="412"/>
      <c r="F1" s="220">
        <v>1</v>
      </c>
      <c r="G1" s="221">
        <v>2</v>
      </c>
      <c r="H1" s="221">
        <v>3</v>
      </c>
      <c r="I1" s="221">
        <v>4</v>
      </c>
      <c r="J1" s="221">
        <v>5</v>
      </c>
      <c r="K1" s="221">
        <v>6</v>
      </c>
      <c r="L1" s="221">
        <v>7</v>
      </c>
      <c r="M1" s="221">
        <v>8</v>
      </c>
      <c r="N1" s="221">
        <v>9</v>
      </c>
      <c r="O1" s="259">
        <v>10</v>
      </c>
      <c r="P1" s="259">
        <v>11</v>
      </c>
      <c r="Q1" s="259">
        <v>12</v>
      </c>
      <c r="R1" s="259">
        <v>13</v>
      </c>
      <c r="S1" s="259">
        <v>14</v>
      </c>
      <c r="T1" s="259">
        <v>15</v>
      </c>
      <c r="U1" s="259">
        <v>16</v>
      </c>
      <c r="V1" s="259">
        <v>17</v>
      </c>
      <c r="W1" s="259">
        <v>18</v>
      </c>
      <c r="X1" s="259">
        <v>19</v>
      </c>
      <c r="Y1" s="261">
        <v>20</v>
      </c>
      <c r="Z1" s="262" t="s">
        <v>1</v>
      </c>
      <c r="AA1" s="308"/>
      <c r="AB1" s="310"/>
      <c r="AC1" s="9"/>
    </row>
    <row r="2" spans="1:29" ht="12" customHeight="1">
      <c r="A2" s="401"/>
      <c r="B2" s="402"/>
      <c r="C2" s="403"/>
      <c r="D2" s="413" t="s">
        <v>2</v>
      </c>
      <c r="E2" s="414"/>
      <c r="F2" s="222"/>
      <c r="G2" s="223"/>
      <c r="H2" s="223"/>
      <c r="I2" s="223"/>
      <c r="J2" s="360"/>
      <c r="K2" s="223"/>
      <c r="L2" s="301"/>
      <c r="M2" s="384"/>
      <c r="N2" s="370"/>
      <c r="O2" s="370"/>
      <c r="P2" s="363"/>
      <c r="Q2" s="364"/>
      <c r="R2" s="365"/>
      <c r="S2" s="384"/>
      <c r="T2" s="377"/>
      <c r="U2" s="375"/>
      <c r="V2" s="260"/>
      <c r="W2" s="296"/>
      <c r="X2" s="296"/>
      <c r="Y2" s="304"/>
      <c r="Z2" s="263"/>
      <c r="AA2" s="308"/>
      <c r="AB2" s="310"/>
      <c r="AC2" s="9"/>
    </row>
    <row r="3" spans="1:29" ht="12" customHeight="1">
      <c r="A3" s="401"/>
      <c r="B3" s="402"/>
      <c r="C3" s="403"/>
      <c r="D3" s="415" t="s">
        <v>3</v>
      </c>
      <c r="E3" s="416"/>
      <c r="F3" s="224"/>
      <c r="G3" s="225"/>
      <c r="H3" s="225"/>
      <c r="I3" s="225"/>
      <c r="J3" s="300"/>
      <c r="K3" s="225"/>
      <c r="L3" s="362"/>
      <c r="M3" s="385"/>
      <c r="N3" s="371"/>
      <c r="O3" s="371"/>
      <c r="P3" s="371"/>
      <c r="Q3" s="367"/>
      <c r="R3" s="385"/>
      <c r="S3" s="371"/>
      <c r="T3" s="378"/>
      <c r="U3" s="368"/>
      <c r="V3" s="366"/>
      <c r="W3" s="294"/>
      <c r="X3" s="294"/>
      <c r="Y3" s="295"/>
      <c r="Z3" s="264"/>
      <c r="AA3" s="308"/>
      <c r="AB3" s="310"/>
      <c r="AC3" s="9"/>
    </row>
    <row r="4" spans="1:29" ht="12" customHeight="1">
      <c r="A4" s="401"/>
      <c r="B4" s="402"/>
      <c r="C4" s="403"/>
      <c r="D4" s="415" t="s">
        <v>4</v>
      </c>
      <c r="E4" s="416"/>
      <c r="F4" s="226"/>
      <c r="G4" s="227"/>
      <c r="H4" s="227"/>
      <c r="I4" s="227"/>
      <c r="J4" s="361"/>
      <c r="K4" s="227"/>
      <c r="L4" s="389"/>
      <c r="M4" s="372"/>
      <c r="N4" s="388"/>
      <c r="O4" s="387"/>
      <c r="P4" s="299"/>
      <c r="Q4" s="386"/>
      <c r="R4" s="383"/>
      <c r="S4" s="372"/>
      <c r="T4" s="379"/>
      <c r="U4" s="376"/>
      <c r="V4" s="227"/>
      <c r="W4" s="227"/>
      <c r="X4" s="227"/>
      <c r="Y4" s="265"/>
      <c r="Z4" s="264"/>
      <c r="AA4" s="266"/>
      <c r="AB4" s="314"/>
      <c r="AC4" s="9"/>
    </row>
    <row r="5" spans="1:29" ht="12" customHeight="1">
      <c r="A5" s="401"/>
      <c r="B5" s="402"/>
      <c r="C5" s="403"/>
      <c r="D5" s="417" t="s">
        <v>5</v>
      </c>
      <c r="E5" s="416"/>
      <c r="F5" s="228" t="str">
        <f t="shared" ref="F5:Y5" si="0">IF(F6="TAIP","-",IF(COUNTIF(F13:F20,"Ne")&gt;=2,"TAIP","-"))</f>
        <v>-</v>
      </c>
      <c r="G5" s="229" t="str">
        <f t="shared" si="0"/>
        <v>-</v>
      </c>
      <c r="H5" s="229" t="str">
        <f t="shared" si="0"/>
        <v>-</v>
      </c>
      <c r="I5" s="229"/>
      <c r="J5" s="229" t="str">
        <f t="shared" si="0"/>
        <v>-</v>
      </c>
      <c r="K5" s="229" t="str">
        <f t="shared" si="0"/>
        <v>-</v>
      </c>
      <c r="L5" s="373" t="str">
        <f t="shared" si="0"/>
        <v>-</v>
      </c>
      <c r="M5" s="390" t="str">
        <f t="shared" si="0"/>
        <v>-</v>
      </c>
      <c r="N5" s="369" t="str">
        <f t="shared" si="0"/>
        <v>-</v>
      </c>
      <c r="O5" s="229" t="str">
        <f t="shared" si="0"/>
        <v>-</v>
      </c>
      <c r="P5" s="229" t="str">
        <f t="shared" si="0"/>
        <v>-</v>
      </c>
      <c r="Q5" s="229" t="str">
        <f t="shared" si="0"/>
        <v>-</v>
      </c>
      <c r="R5" s="229" t="str">
        <f t="shared" si="0"/>
        <v>-</v>
      </c>
      <c r="S5" s="373" t="str">
        <f t="shared" si="0"/>
        <v>-</v>
      </c>
      <c r="T5" s="380" t="str">
        <f t="shared" si="0"/>
        <v>-</v>
      </c>
      <c r="U5" s="369" t="str">
        <f t="shared" si="0"/>
        <v>-</v>
      </c>
      <c r="V5" s="229" t="str">
        <f t="shared" si="0"/>
        <v>-</v>
      </c>
      <c r="W5" s="229" t="str">
        <f t="shared" si="0"/>
        <v>-</v>
      </c>
      <c r="X5" s="229" t="str">
        <f t="shared" si="0"/>
        <v>-</v>
      </c>
      <c r="Y5" s="267" t="str">
        <f t="shared" si="0"/>
        <v>-</v>
      </c>
      <c r="Z5" s="268">
        <f t="shared" ref="Z5:Z7" si="1">COUNTIF(F5:Y5,"TAIP")</f>
        <v>0</v>
      </c>
      <c r="AA5" s="417" t="s">
        <v>5</v>
      </c>
      <c r="AB5" s="416"/>
      <c r="AC5" s="9"/>
    </row>
    <row r="6" spans="1:29" ht="12.75" customHeight="1">
      <c r="A6" s="401"/>
      <c r="B6" s="402"/>
      <c r="C6" s="403"/>
      <c r="D6" s="417" t="s">
        <v>6</v>
      </c>
      <c r="E6" s="416"/>
      <c r="F6" s="230" t="str">
        <f t="shared" ref="F6:Y6" si="2">IF((OR(F17="Ne",F22="Ne",F23="Ne")),"TAIP","-")</f>
        <v>-</v>
      </c>
      <c r="G6" s="231" t="str">
        <f t="shared" si="2"/>
        <v>-</v>
      </c>
      <c r="H6" s="231" t="str">
        <f t="shared" si="2"/>
        <v>-</v>
      </c>
      <c r="I6" s="231" t="str">
        <f t="shared" si="2"/>
        <v>-</v>
      </c>
      <c r="J6" s="231" t="str">
        <f t="shared" si="2"/>
        <v>-</v>
      </c>
      <c r="K6" s="231" t="str">
        <f t="shared" si="2"/>
        <v>-</v>
      </c>
      <c r="L6" s="231" t="str">
        <f t="shared" si="2"/>
        <v>-</v>
      </c>
      <c r="M6" s="391" t="str">
        <f t="shared" si="2"/>
        <v>-</v>
      </c>
      <c r="N6" s="230" t="str">
        <f t="shared" si="2"/>
        <v>-</v>
      </c>
      <c r="O6" s="231" t="str">
        <f t="shared" si="2"/>
        <v>-</v>
      </c>
      <c r="P6" s="231" t="str">
        <f t="shared" si="2"/>
        <v>-</v>
      </c>
      <c r="Q6" s="231" t="str">
        <f t="shared" si="2"/>
        <v>-</v>
      </c>
      <c r="R6" s="231" t="str">
        <f t="shared" si="2"/>
        <v>-</v>
      </c>
      <c r="S6" s="374" t="str">
        <f t="shared" si="2"/>
        <v>-</v>
      </c>
      <c r="T6" s="381" t="str">
        <f t="shared" si="2"/>
        <v>-</v>
      </c>
      <c r="U6" s="230" t="str">
        <f t="shared" si="2"/>
        <v>-</v>
      </c>
      <c r="V6" s="231" t="str">
        <f t="shared" si="2"/>
        <v>-</v>
      </c>
      <c r="W6" s="231" t="str">
        <f t="shared" si="2"/>
        <v>-</v>
      </c>
      <c r="X6" s="231" t="str">
        <f t="shared" si="2"/>
        <v>-</v>
      </c>
      <c r="Y6" s="269" t="str">
        <f t="shared" si="2"/>
        <v>-</v>
      </c>
      <c r="Z6" s="270">
        <f t="shared" si="1"/>
        <v>0</v>
      </c>
      <c r="AA6" s="417" t="s">
        <v>6</v>
      </c>
      <c r="AB6" s="416"/>
      <c r="AC6" s="9"/>
    </row>
    <row r="7" spans="1:29" ht="12.75" customHeight="1">
      <c r="A7" s="401"/>
      <c r="B7" s="402"/>
      <c r="C7" s="403"/>
      <c r="D7" s="232" t="s">
        <v>7</v>
      </c>
      <c r="E7" s="233"/>
      <c r="F7" s="234" t="str">
        <f t="shared" ref="F7:Y7" si="3">IF(OR(F6="TAIP",F5="TAIP"),"TAIP",IF(F8="Skaičiuojama","-",IF(F8&lt;80%,"TAIP","NE")))</f>
        <v>NE</v>
      </c>
      <c r="G7" s="234" t="str">
        <f t="shared" si="3"/>
        <v>NE</v>
      </c>
      <c r="H7" s="234" t="str">
        <f t="shared" si="3"/>
        <v>NE</v>
      </c>
      <c r="I7" s="234" t="str">
        <f t="shared" si="3"/>
        <v>NE</v>
      </c>
      <c r="J7" s="234" t="str">
        <f t="shared" si="3"/>
        <v>NE</v>
      </c>
      <c r="K7" s="234" t="str">
        <f t="shared" si="3"/>
        <v>NE</v>
      </c>
      <c r="L7" s="234" t="str">
        <f t="shared" si="3"/>
        <v>NE</v>
      </c>
      <c r="M7" s="382" t="str">
        <f t="shared" si="3"/>
        <v>NE</v>
      </c>
      <c r="N7" s="234" t="str">
        <f t="shared" si="3"/>
        <v>NE</v>
      </c>
      <c r="O7" s="234" t="str">
        <f t="shared" si="3"/>
        <v>NE</v>
      </c>
      <c r="P7" s="234" t="str">
        <f t="shared" si="3"/>
        <v>NE</v>
      </c>
      <c r="Q7" s="234" t="str">
        <f t="shared" si="3"/>
        <v>NE</v>
      </c>
      <c r="R7" s="234" t="str">
        <f t="shared" si="3"/>
        <v>NE</v>
      </c>
      <c r="S7" s="234" t="str">
        <f t="shared" si="3"/>
        <v>NE</v>
      </c>
      <c r="T7" s="382" t="str">
        <f t="shared" si="3"/>
        <v>NE</v>
      </c>
      <c r="U7" s="234" t="str">
        <f t="shared" si="3"/>
        <v>NE</v>
      </c>
      <c r="V7" s="234" t="str">
        <f t="shared" si="3"/>
        <v>NE</v>
      </c>
      <c r="W7" s="234" t="str">
        <f t="shared" si="3"/>
        <v>NE</v>
      </c>
      <c r="X7" s="234" t="str">
        <f t="shared" si="3"/>
        <v>NE</v>
      </c>
      <c r="Y7" s="234" t="str">
        <f t="shared" si="3"/>
        <v>NE</v>
      </c>
      <c r="Z7" s="271">
        <f t="shared" si="1"/>
        <v>0</v>
      </c>
      <c r="AA7" s="232" t="s">
        <v>7</v>
      </c>
      <c r="AB7" s="233"/>
      <c r="AC7" s="9"/>
    </row>
    <row r="8" spans="1:29" ht="21" customHeight="1" thickBot="1">
      <c r="A8" s="404"/>
      <c r="B8" s="405"/>
      <c r="C8" s="406"/>
      <c r="D8" s="396" t="s">
        <v>8</v>
      </c>
      <c r="E8" s="397"/>
      <c r="F8" s="235">
        <f t="shared" ref="F8:Y8" si="4">IF(COUNTIF(F10:F23,"-")&gt;0,"Skaičiuojama",IF(OR(F6="TAIP",F5="TAIP"),"0",SUM(IF(F10="Taip",2.5,0),IF(F11="Taip",7.5,0),IF(F12="Taip",5,0),IF(F13="Taip",5,0),IF(F14="Taip",5,0),IF(F15="Taip",5,0),IF(F16="Taip",5,0),IF(F17="Taip",10,0),IF(F18="Taip",5,0),IF(F19="Taip",5,0),IF(F20="Taip",15,0),IF(F21="Taip",5,0),IF(F22="Taip",12.5,0),IF(F23="Taip",12.5,0)))/100)</f>
        <v>1</v>
      </c>
      <c r="G8" s="235">
        <f t="shared" si="4"/>
        <v>1</v>
      </c>
      <c r="H8" s="235">
        <f t="shared" si="4"/>
        <v>1</v>
      </c>
      <c r="I8" s="235">
        <f t="shared" si="4"/>
        <v>1</v>
      </c>
      <c r="J8" s="235">
        <f t="shared" si="4"/>
        <v>1</v>
      </c>
      <c r="K8" s="235">
        <f t="shared" si="4"/>
        <v>1</v>
      </c>
      <c r="L8" s="235">
        <f t="shared" si="4"/>
        <v>1</v>
      </c>
      <c r="M8" s="235">
        <f t="shared" si="4"/>
        <v>1</v>
      </c>
      <c r="N8" s="235">
        <f t="shared" si="4"/>
        <v>1</v>
      </c>
      <c r="O8" s="235">
        <f t="shared" si="4"/>
        <v>1</v>
      </c>
      <c r="P8" s="235">
        <f t="shared" si="4"/>
        <v>1</v>
      </c>
      <c r="Q8" s="235">
        <f t="shared" si="4"/>
        <v>1</v>
      </c>
      <c r="R8" s="235">
        <f t="shared" si="4"/>
        <v>1</v>
      </c>
      <c r="S8" s="235">
        <f t="shared" si="4"/>
        <v>1</v>
      </c>
      <c r="T8" s="235">
        <f t="shared" si="4"/>
        <v>1</v>
      </c>
      <c r="U8" s="235">
        <f t="shared" si="4"/>
        <v>1</v>
      </c>
      <c r="V8" s="235">
        <f t="shared" si="4"/>
        <v>1</v>
      </c>
      <c r="W8" s="235">
        <f t="shared" si="4"/>
        <v>1</v>
      </c>
      <c r="X8" s="235">
        <f t="shared" si="4"/>
        <v>1</v>
      </c>
      <c r="Y8" s="235">
        <f t="shared" si="4"/>
        <v>1</v>
      </c>
      <c r="Z8" s="272">
        <f>IF(Y8="Skaičiuojama","-",AVERAGE(F8:Y8))</f>
        <v>1</v>
      </c>
      <c r="AA8" s="396" t="s">
        <v>8</v>
      </c>
      <c r="AB8" s="397"/>
      <c r="AC8" s="9"/>
    </row>
    <row r="9" spans="1:29" ht="18.75" customHeight="1" thickBot="1">
      <c r="A9" s="319" t="s">
        <v>9</v>
      </c>
      <c r="B9" s="319" t="s">
        <v>10</v>
      </c>
      <c r="C9" s="319" t="s">
        <v>11</v>
      </c>
      <c r="D9" s="319" t="s">
        <v>12</v>
      </c>
      <c r="E9" s="319" t="s">
        <v>13</v>
      </c>
      <c r="F9" s="236" t="s">
        <v>14</v>
      </c>
      <c r="G9" s="236" t="s">
        <v>14</v>
      </c>
      <c r="H9" s="236" t="s">
        <v>14</v>
      </c>
      <c r="I9" s="236" t="s">
        <v>14</v>
      </c>
      <c r="J9" s="236" t="s">
        <v>14</v>
      </c>
      <c r="K9" s="236" t="s">
        <v>14</v>
      </c>
      <c r="L9" s="236" t="s">
        <v>14</v>
      </c>
      <c r="M9" s="236" t="s">
        <v>14</v>
      </c>
      <c r="N9" s="236" t="s">
        <v>14</v>
      </c>
      <c r="O9" s="236" t="s">
        <v>14</v>
      </c>
      <c r="P9" s="236" t="s">
        <v>14</v>
      </c>
      <c r="Q9" s="236" t="s">
        <v>14</v>
      </c>
      <c r="R9" s="236" t="s">
        <v>14</v>
      </c>
      <c r="S9" s="236" t="s">
        <v>14</v>
      </c>
      <c r="T9" s="236" t="s">
        <v>14</v>
      </c>
      <c r="U9" s="236" t="s">
        <v>14</v>
      </c>
      <c r="V9" s="236" t="s">
        <v>14</v>
      </c>
      <c r="W9" s="236" t="s">
        <v>14</v>
      </c>
      <c r="X9" s="236" t="s">
        <v>14</v>
      </c>
      <c r="Y9" s="273" t="s">
        <v>14</v>
      </c>
      <c r="Z9" s="274"/>
      <c r="AA9" s="275"/>
      <c r="AB9" s="30"/>
      <c r="AC9" s="30"/>
    </row>
    <row r="10" spans="1:29" ht="36.6" customHeight="1">
      <c r="A10" s="348">
        <v>1</v>
      </c>
      <c r="B10" s="349" t="s">
        <v>15</v>
      </c>
      <c r="C10" s="350" t="s">
        <v>16</v>
      </c>
      <c r="D10" s="351" t="s">
        <v>546</v>
      </c>
      <c r="E10" s="351">
        <v>2.5</v>
      </c>
      <c r="F10" s="237" t="s">
        <v>17</v>
      </c>
      <c r="G10" s="237" t="s">
        <v>17</v>
      </c>
      <c r="H10" s="237" t="s">
        <v>17</v>
      </c>
      <c r="I10" s="237" t="s">
        <v>17</v>
      </c>
      <c r="J10" s="237" t="s">
        <v>17</v>
      </c>
      <c r="K10" s="237" t="s">
        <v>17</v>
      </c>
      <c r="L10" s="237" t="s">
        <v>17</v>
      </c>
      <c r="M10" s="237" t="s">
        <v>17</v>
      </c>
      <c r="N10" s="237" t="s">
        <v>17</v>
      </c>
      <c r="O10" s="237" t="s">
        <v>17</v>
      </c>
      <c r="P10" s="237" t="s">
        <v>17</v>
      </c>
      <c r="Q10" s="237" t="s">
        <v>17</v>
      </c>
      <c r="R10" s="237" t="s">
        <v>17</v>
      </c>
      <c r="S10" s="237" t="s">
        <v>17</v>
      </c>
      <c r="T10" s="237" t="s">
        <v>17</v>
      </c>
      <c r="U10" s="237" t="s">
        <v>17</v>
      </c>
      <c r="V10" s="237" t="s">
        <v>17</v>
      </c>
      <c r="W10" s="237" t="s">
        <v>17</v>
      </c>
      <c r="X10" s="237" t="s">
        <v>17</v>
      </c>
      <c r="Y10" s="237" t="s">
        <v>17</v>
      </c>
      <c r="Z10" s="276"/>
      <c r="AA10" s="275"/>
      <c r="AB10" s="30"/>
      <c r="AC10" s="30"/>
    </row>
    <row r="11" spans="1:29" ht="90.6" customHeight="1">
      <c r="A11" s="352">
        <v>2</v>
      </c>
      <c r="B11" s="353" t="s">
        <v>15</v>
      </c>
      <c r="C11" s="354" t="s">
        <v>18</v>
      </c>
      <c r="D11" s="355" t="s">
        <v>547</v>
      </c>
      <c r="E11" s="355">
        <v>7.5</v>
      </c>
      <c r="F11" s="238" t="s">
        <v>17</v>
      </c>
      <c r="G11" s="239" t="s">
        <v>17</v>
      </c>
      <c r="H11" s="239" t="s">
        <v>17</v>
      </c>
      <c r="I11" s="239" t="s">
        <v>17</v>
      </c>
      <c r="J11" s="239" t="s">
        <v>17</v>
      </c>
      <c r="K11" s="239" t="s">
        <v>17</v>
      </c>
      <c r="L11" s="239" t="s">
        <v>17</v>
      </c>
      <c r="M11" s="239" t="s">
        <v>17</v>
      </c>
      <c r="N11" s="239" t="s">
        <v>17</v>
      </c>
      <c r="O11" s="239" t="s">
        <v>17</v>
      </c>
      <c r="P11" s="239" t="s">
        <v>17</v>
      </c>
      <c r="Q11" s="239" t="s">
        <v>17</v>
      </c>
      <c r="R11" s="239" t="s">
        <v>17</v>
      </c>
      <c r="S11" s="239" t="s">
        <v>17</v>
      </c>
      <c r="T11" s="239" t="s">
        <v>17</v>
      </c>
      <c r="U11" s="239" t="s">
        <v>17</v>
      </c>
      <c r="V11" s="239" t="s">
        <v>17</v>
      </c>
      <c r="W11" s="239" t="s">
        <v>17</v>
      </c>
      <c r="X11" s="239" t="s">
        <v>17</v>
      </c>
      <c r="Y11" s="277" t="s">
        <v>17</v>
      </c>
      <c r="Z11" s="278"/>
      <c r="AA11" s="275"/>
      <c r="AB11" s="30"/>
      <c r="AC11" s="30"/>
    </row>
    <row r="12" spans="1:29" ht="76.8" customHeight="1">
      <c r="A12" s="352">
        <v>3</v>
      </c>
      <c r="B12" s="353" t="s">
        <v>15</v>
      </c>
      <c r="C12" s="354" t="s">
        <v>20</v>
      </c>
      <c r="D12" s="355" t="s">
        <v>546</v>
      </c>
      <c r="E12" s="355">
        <v>5</v>
      </c>
      <c r="F12" s="238" t="s">
        <v>17</v>
      </c>
      <c r="G12" s="239" t="s">
        <v>17</v>
      </c>
      <c r="H12" s="239" t="s">
        <v>17</v>
      </c>
      <c r="I12" s="239" t="s">
        <v>17</v>
      </c>
      <c r="J12" s="239" t="s">
        <v>17</v>
      </c>
      <c r="K12" s="239" t="s">
        <v>17</v>
      </c>
      <c r="L12" s="239" t="s">
        <v>17</v>
      </c>
      <c r="M12" s="239" t="s">
        <v>17</v>
      </c>
      <c r="N12" s="239" t="s">
        <v>17</v>
      </c>
      <c r="O12" s="239" t="s">
        <v>17</v>
      </c>
      <c r="P12" s="239" t="s">
        <v>17</v>
      </c>
      <c r="Q12" s="239" t="s">
        <v>17</v>
      </c>
      <c r="R12" s="239" t="s">
        <v>17</v>
      </c>
      <c r="S12" s="239" t="s">
        <v>17</v>
      </c>
      <c r="T12" s="239" t="s">
        <v>17</v>
      </c>
      <c r="U12" s="239" t="s">
        <v>17</v>
      </c>
      <c r="V12" s="239" t="s">
        <v>17</v>
      </c>
      <c r="W12" s="239" t="s">
        <v>17</v>
      </c>
      <c r="X12" s="239" t="s">
        <v>17</v>
      </c>
      <c r="Y12" s="277" t="s">
        <v>17</v>
      </c>
      <c r="Z12" s="278"/>
      <c r="AA12" s="275"/>
      <c r="AB12" s="30"/>
      <c r="AC12" s="30"/>
    </row>
    <row r="13" spans="1:29" ht="61.2" customHeight="1">
      <c r="A13" s="352">
        <v>4</v>
      </c>
      <c r="B13" s="353" t="s">
        <v>15</v>
      </c>
      <c r="C13" s="354" t="s">
        <v>544</v>
      </c>
      <c r="D13" s="355" t="s">
        <v>548</v>
      </c>
      <c r="E13" s="355">
        <v>5</v>
      </c>
      <c r="F13" s="238" t="s">
        <v>17</v>
      </c>
      <c r="G13" s="239" t="s">
        <v>17</v>
      </c>
      <c r="H13" s="239" t="s">
        <v>17</v>
      </c>
      <c r="I13" s="239" t="s">
        <v>17</v>
      </c>
      <c r="J13" s="239" t="s">
        <v>17</v>
      </c>
      <c r="K13" s="239" t="s">
        <v>17</v>
      </c>
      <c r="L13" s="239" t="s">
        <v>17</v>
      </c>
      <c r="M13" s="239" t="s">
        <v>17</v>
      </c>
      <c r="N13" s="239" t="s">
        <v>17</v>
      </c>
      <c r="O13" s="239" t="s">
        <v>17</v>
      </c>
      <c r="P13" s="239" t="s">
        <v>17</v>
      </c>
      <c r="Q13" s="239" t="s">
        <v>17</v>
      </c>
      <c r="R13" s="239" t="s">
        <v>17</v>
      </c>
      <c r="S13" s="239" t="s">
        <v>17</v>
      </c>
      <c r="T13" s="239" t="s">
        <v>17</v>
      </c>
      <c r="U13" s="239" t="s">
        <v>17</v>
      </c>
      <c r="V13" s="239" t="s">
        <v>17</v>
      </c>
      <c r="W13" s="239" t="s">
        <v>17</v>
      </c>
      <c r="X13" s="239" t="s">
        <v>17</v>
      </c>
      <c r="Y13" s="277" t="s">
        <v>17</v>
      </c>
      <c r="Z13" s="278"/>
      <c r="AA13" s="275"/>
      <c r="AB13" s="30"/>
      <c r="AC13" s="30"/>
    </row>
    <row r="14" spans="1:29" ht="67.2" customHeight="1" thickBot="1">
      <c r="A14" s="356">
        <v>5</v>
      </c>
      <c r="B14" s="357" t="s">
        <v>15</v>
      </c>
      <c r="C14" s="358" t="s">
        <v>543</v>
      </c>
      <c r="D14" s="359" t="s">
        <v>548</v>
      </c>
      <c r="E14" s="359">
        <v>5</v>
      </c>
      <c r="F14" s="240" t="s">
        <v>17</v>
      </c>
      <c r="G14" s="241" t="s">
        <v>17</v>
      </c>
      <c r="H14" s="241" t="s">
        <v>17</v>
      </c>
      <c r="I14" s="241" t="s">
        <v>17</v>
      </c>
      <c r="J14" s="241" t="s">
        <v>17</v>
      </c>
      <c r="K14" s="241" t="s">
        <v>17</v>
      </c>
      <c r="L14" s="241" t="s">
        <v>17</v>
      </c>
      <c r="M14" s="241" t="s">
        <v>17</v>
      </c>
      <c r="N14" s="241" t="s">
        <v>17</v>
      </c>
      <c r="O14" s="241" t="s">
        <v>17</v>
      </c>
      <c r="P14" s="241" t="s">
        <v>17</v>
      </c>
      <c r="Q14" s="241" t="s">
        <v>17</v>
      </c>
      <c r="R14" s="241" t="s">
        <v>17</v>
      </c>
      <c r="S14" s="241" t="s">
        <v>17</v>
      </c>
      <c r="T14" s="241" t="s">
        <v>17</v>
      </c>
      <c r="U14" s="241" t="s">
        <v>17</v>
      </c>
      <c r="V14" s="241" t="s">
        <v>17</v>
      </c>
      <c r="W14" s="241" t="s">
        <v>17</v>
      </c>
      <c r="X14" s="241" t="s">
        <v>17</v>
      </c>
      <c r="Y14" s="279" t="s">
        <v>17</v>
      </c>
      <c r="Z14" s="280"/>
      <c r="AA14" s="275"/>
      <c r="AB14" s="30"/>
      <c r="AC14" s="30"/>
    </row>
    <row r="15" spans="1:29" ht="59.4" customHeight="1">
      <c r="A15" s="320">
        <v>6</v>
      </c>
      <c r="B15" s="321" t="s">
        <v>21</v>
      </c>
      <c r="C15" s="322" t="s">
        <v>545</v>
      </c>
      <c r="D15" s="323" t="s">
        <v>548</v>
      </c>
      <c r="E15" s="323">
        <v>5</v>
      </c>
      <c r="F15" s="242" t="s">
        <v>17</v>
      </c>
      <c r="G15" s="243" t="s">
        <v>17</v>
      </c>
      <c r="H15" s="243" t="s">
        <v>17</v>
      </c>
      <c r="I15" s="243" t="s">
        <v>17</v>
      </c>
      <c r="J15" s="243" t="s">
        <v>17</v>
      </c>
      <c r="K15" s="243" t="s">
        <v>17</v>
      </c>
      <c r="L15" s="243" t="s">
        <v>17</v>
      </c>
      <c r="M15" s="243" t="s">
        <v>17</v>
      </c>
      <c r="N15" s="243" t="s">
        <v>17</v>
      </c>
      <c r="O15" s="243" t="s">
        <v>17</v>
      </c>
      <c r="P15" s="243" t="s">
        <v>17</v>
      </c>
      <c r="Q15" s="243" t="s">
        <v>17</v>
      </c>
      <c r="R15" s="243" t="s">
        <v>17</v>
      </c>
      <c r="S15" s="243" t="s">
        <v>17</v>
      </c>
      <c r="T15" s="243" t="s">
        <v>17</v>
      </c>
      <c r="U15" s="243" t="s">
        <v>17</v>
      </c>
      <c r="V15" s="243" t="s">
        <v>17</v>
      </c>
      <c r="W15" s="243" t="s">
        <v>17</v>
      </c>
      <c r="X15" s="243" t="s">
        <v>17</v>
      </c>
      <c r="Y15" s="281" t="s">
        <v>17</v>
      </c>
      <c r="Z15" s="276"/>
      <c r="AA15" s="275"/>
      <c r="AB15" s="30"/>
      <c r="AC15" s="30"/>
    </row>
    <row r="16" spans="1:29" ht="61.8" customHeight="1">
      <c r="A16" s="324">
        <v>7</v>
      </c>
      <c r="B16" s="325" t="s">
        <v>21</v>
      </c>
      <c r="C16" s="326" t="s">
        <v>22</v>
      </c>
      <c r="D16" s="323" t="s">
        <v>548</v>
      </c>
      <c r="E16" s="327">
        <v>5</v>
      </c>
      <c r="F16" s="244" t="s">
        <v>17</v>
      </c>
      <c r="G16" s="245" t="s">
        <v>17</v>
      </c>
      <c r="H16" s="245" t="s">
        <v>17</v>
      </c>
      <c r="I16" s="245" t="s">
        <v>17</v>
      </c>
      <c r="J16" s="245" t="s">
        <v>17</v>
      </c>
      <c r="K16" s="245" t="s">
        <v>17</v>
      </c>
      <c r="L16" s="245" t="s">
        <v>17</v>
      </c>
      <c r="M16" s="245" t="s">
        <v>17</v>
      </c>
      <c r="N16" s="245" t="s">
        <v>17</v>
      </c>
      <c r="O16" s="245" t="s">
        <v>17</v>
      </c>
      <c r="P16" s="245" t="s">
        <v>17</v>
      </c>
      <c r="Q16" s="245" t="s">
        <v>17</v>
      </c>
      <c r="R16" s="245" t="s">
        <v>17</v>
      </c>
      <c r="S16" s="245" t="s">
        <v>17</v>
      </c>
      <c r="T16" s="245" t="s">
        <v>17</v>
      </c>
      <c r="U16" s="245" t="s">
        <v>17</v>
      </c>
      <c r="V16" s="245" t="s">
        <v>17</v>
      </c>
      <c r="W16" s="245" t="s">
        <v>17</v>
      </c>
      <c r="X16" s="245" t="s">
        <v>17</v>
      </c>
      <c r="Y16" s="282" t="s">
        <v>17</v>
      </c>
      <c r="Z16" s="278"/>
      <c r="AA16" s="275"/>
      <c r="AB16" s="30"/>
      <c r="AC16" s="30"/>
    </row>
    <row r="17" spans="1:29" ht="66.599999999999994" customHeight="1">
      <c r="A17" s="324">
        <v>8</v>
      </c>
      <c r="B17" s="325" t="s">
        <v>21</v>
      </c>
      <c r="C17" s="326" t="s">
        <v>23</v>
      </c>
      <c r="D17" s="323" t="s">
        <v>549</v>
      </c>
      <c r="E17" s="327">
        <v>10</v>
      </c>
      <c r="F17" s="244" t="s">
        <v>17</v>
      </c>
      <c r="G17" s="245" t="s">
        <v>17</v>
      </c>
      <c r="H17" s="245" t="s">
        <v>17</v>
      </c>
      <c r="I17" s="245" t="s">
        <v>17</v>
      </c>
      <c r="J17" s="245" t="s">
        <v>17</v>
      </c>
      <c r="K17" s="245" t="s">
        <v>17</v>
      </c>
      <c r="L17" s="245" t="s">
        <v>17</v>
      </c>
      <c r="M17" s="245" t="s">
        <v>17</v>
      </c>
      <c r="N17" s="245" t="s">
        <v>17</v>
      </c>
      <c r="O17" s="245" t="s">
        <v>17</v>
      </c>
      <c r="P17" s="245" t="s">
        <v>17</v>
      </c>
      <c r="Q17" s="245" t="s">
        <v>17</v>
      </c>
      <c r="R17" s="245" t="s">
        <v>17</v>
      </c>
      <c r="S17" s="245" t="s">
        <v>17</v>
      </c>
      <c r="T17" s="245" t="s">
        <v>17</v>
      </c>
      <c r="U17" s="245" t="s">
        <v>17</v>
      </c>
      <c r="V17" s="245" t="s">
        <v>17</v>
      </c>
      <c r="W17" s="245" t="s">
        <v>17</v>
      </c>
      <c r="X17" s="245" t="s">
        <v>17</v>
      </c>
      <c r="Y17" s="282" t="s">
        <v>17</v>
      </c>
      <c r="Z17" s="278"/>
      <c r="AA17" s="275"/>
      <c r="AB17" s="30"/>
      <c r="AC17" s="30"/>
    </row>
    <row r="18" spans="1:29" ht="64.2" customHeight="1" thickBot="1">
      <c r="A18" s="324">
        <v>9</v>
      </c>
      <c r="B18" s="325" t="s">
        <v>21</v>
      </c>
      <c r="C18" s="326" t="s">
        <v>24</v>
      </c>
      <c r="D18" s="323" t="s">
        <v>548</v>
      </c>
      <c r="E18" s="327">
        <v>5</v>
      </c>
      <c r="F18" s="246" t="s">
        <v>17</v>
      </c>
      <c r="G18" s="247" t="s">
        <v>17</v>
      </c>
      <c r="H18" s="247" t="s">
        <v>17</v>
      </c>
      <c r="I18" s="247" t="s">
        <v>17</v>
      </c>
      <c r="J18" s="247" t="s">
        <v>17</v>
      </c>
      <c r="K18" s="247" t="s">
        <v>17</v>
      </c>
      <c r="L18" s="247" t="s">
        <v>17</v>
      </c>
      <c r="M18" s="247" t="s">
        <v>17</v>
      </c>
      <c r="N18" s="247" t="s">
        <v>17</v>
      </c>
      <c r="O18" s="247" t="s">
        <v>17</v>
      </c>
      <c r="P18" s="247" t="s">
        <v>17</v>
      </c>
      <c r="Q18" s="247" t="s">
        <v>17</v>
      </c>
      <c r="R18" s="247" t="s">
        <v>17</v>
      </c>
      <c r="S18" s="247" t="s">
        <v>17</v>
      </c>
      <c r="T18" s="247" t="s">
        <v>17</v>
      </c>
      <c r="U18" s="247" t="s">
        <v>17</v>
      </c>
      <c r="V18" s="247" t="s">
        <v>17</v>
      </c>
      <c r="W18" s="247" t="s">
        <v>17</v>
      </c>
      <c r="X18" s="247" t="s">
        <v>17</v>
      </c>
      <c r="Y18" s="283" t="s">
        <v>17</v>
      </c>
      <c r="Z18" s="284"/>
      <c r="AA18" s="275"/>
      <c r="AB18" s="30"/>
      <c r="AC18" s="30"/>
    </row>
    <row r="19" spans="1:29" ht="42.6" customHeight="1">
      <c r="A19" s="328">
        <v>11</v>
      </c>
      <c r="B19" s="329" t="s">
        <v>25</v>
      </c>
      <c r="C19" s="330" t="s">
        <v>26</v>
      </c>
      <c r="D19" s="331" t="s">
        <v>548</v>
      </c>
      <c r="E19" s="331">
        <v>5</v>
      </c>
      <c r="F19" s="248" t="s">
        <v>17</v>
      </c>
      <c r="G19" s="249" t="s">
        <v>17</v>
      </c>
      <c r="H19" s="249" t="s">
        <v>17</v>
      </c>
      <c r="I19" s="249" t="s">
        <v>17</v>
      </c>
      <c r="J19" s="249" t="s">
        <v>17</v>
      </c>
      <c r="K19" s="249" t="s">
        <v>17</v>
      </c>
      <c r="L19" s="249" t="s">
        <v>17</v>
      </c>
      <c r="M19" s="249" t="s">
        <v>17</v>
      </c>
      <c r="N19" s="249" t="s">
        <v>17</v>
      </c>
      <c r="O19" s="249" t="s">
        <v>17</v>
      </c>
      <c r="P19" s="249" t="s">
        <v>17</v>
      </c>
      <c r="Q19" s="249" t="s">
        <v>17</v>
      </c>
      <c r="R19" s="249" t="s">
        <v>17</v>
      </c>
      <c r="S19" s="249" t="s">
        <v>17</v>
      </c>
      <c r="T19" s="249" t="s">
        <v>17</v>
      </c>
      <c r="U19" s="249" t="s">
        <v>17</v>
      </c>
      <c r="V19" s="249" t="s">
        <v>17</v>
      </c>
      <c r="W19" s="249" t="s">
        <v>17</v>
      </c>
      <c r="X19" s="249" t="s">
        <v>17</v>
      </c>
      <c r="Y19" s="285" t="s">
        <v>17</v>
      </c>
      <c r="Z19" s="286"/>
      <c r="AA19" s="275"/>
      <c r="AB19" s="30"/>
      <c r="AC19" s="30"/>
    </row>
    <row r="20" spans="1:29" ht="45" customHeight="1">
      <c r="A20" s="332">
        <v>12</v>
      </c>
      <c r="B20" s="333" t="s">
        <v>25</v>
      </c>
      <c r="C20" s="334" t="s">
        <v>551</v>
      </c>
      <c r="D20" s="335" t="s">
        <v>548</v>
      </c>
      <c r="E20" s="335">
        <v>15</v>
      </c>
      <c r="F20" s="244" t="s">
        <v>17</v>
      </c>
      <c r="G20" s="245" t="s">
        <v>17</v>
      </c>
      <c r="H20" s="245" t="s">
        <v>17</v>
      </c>
      <c r="I20" s="245" t="s">
        <v>17</v>
      </c>
      <c r="J20" s="245" t="s">
        <v>17</v>
      </c>
      <c r="K20" s="245" t="s">
        <v>17</v>
      </c>
      <c r="L20" s="245" t="s">
        <v>17</v>
      </c>
      <c r="M20" s="245" t="s">
        <v>17</v>
      </c>
      <c r="N20" s="245" t="s">
        <v>17</v>
      </c>
      <c r="O20" s="245" t="s">
        <v>17</v>
      </c>
      <c r="P20" s="245" t="s">
        <v>17</v>
      </c>
      <c r="Q20" s="245" t="s">
        <v>17</v>
      </c>
      <c r="R20" s="245" t="s">
        <v>17</v>
      </c>
      <c r="S20" s="245" t="s">
        <v>17</v>
      </c>
      <c r="T20" s="245" t="s">
        <v>17</v>
      </c>
      <c r="U20" s="245" t="s">
        <v>17</v>
      </c>
      <c r="V20" s="245" t="s">
        <v>17</v>
      </c>
      <c r="W20" s="245" t="s">
        <v>17</v>
      </c>
      <c r="X20" s="245" t="s">
        <v>17</v>
      </c>
      <c r="Y20" s="282" t="s">
        <v>17</v>
      </c>
      <c r="Z20" s="278"/>
      <c r="AA20" s="275"/>
      <c r="AB20" s="30"/>
      <c r="AC20" s="30"/>
    </row>
    <row r="21" spans="1:29" ht="61.8" customHeight="1" thickBot="1">
      <c r="A21" s="336">
        <v>13</v>
      </c>
      <c r="B21" s="337" t="s">
        <v>25</v>
      </c>
      <c r="C21" s="338" t="s">
        <v>552</v>
      </c>
      <c r="D21" s="339" t="s">
        <v>546</v>
      </c>
      <c r="E21" s="339">
        <v>5</v>
      </c>
      <c r="F21" s="246" t="s">
        <v>17</v>
      </c>
      <c r="G21" s="247" t="s">
        <v>17</v>
      </c>
      <c r="H21" s="247" t="s">
        <v>17</v>
      </c>
      <c r="I21" s="247" t="s">
        <v>17</v>
      </c>
      <c r="J21" s="247" t="s">
        <v>17</v>
      </c>
      <c r="K21" s="247" t="s">
        <v>17</v>
      </c>
      <c r="L21" s="247" t="s">
        <v>17</v>
      </c>
      <c r="M21" s="247" t="s">
        <v>17</v>
      </c>
      <c r="N21" s="247" t="s">
        <v>17</v>
      </c>
      <c r="O21" s="247" t="s">
        <v>17</v>
      </c>
      <c r="P21" s="247" t="s">
        <v>17</v>
      </c>
      <c r="Q21" s="247" t="s">
        <v>17</v>
      </c>
      <c r="R21" s="247" t="s">
        <v>17</v>
      </c>
      <c r="S21" s="247" t="s">
        <v>17</v>
      </c>
      <c r="T21" s="247" t="s">
        <v>17</v>
      </c>
      <c r="U21" s="247" t="s">
        <v>17</v>
      </c>
      <c r="V21" s="247" t="s">
        <v>17</v>
      </c>
      <c r="W21" s="247" t="s">
        <v>17</v>
      </c>
      <c r="X21" s="247" t="s">
        <v>17</v>
      </c>
      <c r="Y21" s="283" t="s">
        <v>17</v>
      </c>
      <c r="Z21" s="280"/>
      <c r="AA21" s="275"/>
      <c r="AB21" s="30"/>
      <c r="AC21" s="30"/>
    </row>
    <row r="22" spans="1:29" ht="43.2" customHeight="1">
      <c r="A22" s="340">
        <v>14</v>
      </c>
      <c r="B22" s="341" t="s">
        <v>27</v>
      </c>
      <c r="C22" s="342" t="s">
        <v>28</v>
      </c>
      <c r="D22" s="343" t="s">
        <v>549</v>
      </c>
      <c r="E22" s="343">
        <v>12.5</v>
      </c>
      <c r="F22" s="248" t="s">
        <v>17</v>
      </c>
      <c r="G22" s="249" t="s">
        <v>17</v>
      </c>
      <c r="H22" s="249" t="s">
        <v>17</v>
      </c>
      <c r="I22" s="249" t="s">
        <v>17</v>
      </c>
      <c r="J22" s="249" t="s">
        <v>17</v>
      </c>
      <c r="K22" s="249" t="s">
        <v>17</v>
      </c>
      <c r="L22" s="249" t="s">
        <v>17</v>
      </c>
      <c r="M22" s="249" t="s">
        <v>17</v>
      </c>
      <c r="N22" s="249" t="s">
        <v>17</v>
      </c>
      <c r="O22" s="249" t="s">
        <v>17</v>
      </c>
      <c r="P22" s="249" t="s">
        <v>17</v>
      </c>
      <c r="Q22" s="249" t="s">
        <v>17</v>
      </c>
      <c r="R22" s="249" t="s">
        <v>17</v>
      </c>
      <c r="S22" s="249" t="s">
        <v>17</v>
      </c>
      <c r="T22" s="249" t="s">
        <v>17</v>
      </c>
      <c r="U22" s="249" t="s">
        <v>17</v>
      </c>
      <c r="V22" s="249" t="s">
        <v>17</v>
      </c>
      <c r="W22" s="249" t="s">
        <v>17</v>
      </c>
      <c r="X22" s="249" t="s">
        <v>17</v>
      </c>
      <c r="Y22" s="285" t="s">
        <v>17</v>
      </c>
      <c r="Z22" s="276"/>
      <c r="AA22" s="275"/>
      <c r="AB22" s="30"/>
      <c r="AC22" s="30"/>
    </row>
    <row r="23" spans="1:29" ht="50.4" customHeight="1" thickBot="1">
      <c r="A23" s="344">
        <v>15</v>
      </c>
      <c r="B23" s="345" t="s">
        <v>27</v>
      </c>
      <c r="C23" s="346" t="s">
        <v>29</v>
      </c>
      <c r="D23" s="347" t="s">
        <v>549</v>
      </c>
      <c r="E23" s="347">
        <v>12.5</v>
      </c>
      <c r="F23" s="246" t="s">
        <v>17</v>
      </c>
      <c r="G23" s="247" t="s">
        <v>17</v>
      </c>
      <c r="H23" s="247" t="s">
        <v>17</v>
      </c>
      <c r="I23" s="247" t="s">
        <v>17</v>
      </c>
      <c r="J23" s="247" t="s">
        <v>17</v>
      </c>
      <c r="K23" s="247" t="s">
        <v>17</v>
      </c>
      <c r="L23" s="247" t="s">
        <v>17</v>
      </c>
      <c r="M23" s="247" t="s">
        <v>17</v>
      </c>
      <c r="N23" s="247" t="s">
        <v>17</v>
      </c>
      <c r="O23" s="247" t="s">
        <v>17</v>
      </c>
      <c r="P23" s="247" t="s">
        <v>17</v>
      </c>
      <c r="Q23" s="247" t="s">
        <v>17</v>
      </c>
      <c r="R23" s="247" t="s">
        <v>17</v>
      </c>
      <c r="S23" s="247" t="s">
        <v>17</v>
      </c>
      <c r="T23" s="247" t="s">
        <v>17</v>
      </c>
      <c r="U23" s="247" t="s">
        <v>17</v>
      </c>
      <c r="V23" s="247" t="s">
        <v>17</v>
      </c>
      <c r="W23" s="247" t="s">
        <v>17</v>
      </c>
      <c r="X23" s="247" t="s">
        <v>17</v>
      </c>
      <c r="Y23" s="283" t="s">
        <v>17</v>
      </c>
      <c r="Z23" s="280"/>
      <c r="AA23" s="275"/>
      <c r="AB23" s="30"/>
      <c r="AC23" s="30"/>
    </row>
    <row r="24" spans="1:29" ht="15" customHeight="1">
      <c r="A24" s="398" t="s">
        <v>30</v>
      </c>
      <c r="B24" s="399"/>
      <c r="C24" s="400"/>
      <c r="D24" s="407" t="s">
        <v>15</v>
      </c>
      <c r="E24" s="393"/>
      <c r="F24" s="250"/>
      <c r="G24" s="251"/>
      <c r="H24" s="251"/>
      <c r="I24" s="251"/>
      <c r="J24" s="251"/>
      <c r="K24" s="251"/>
      <c r="L24" s="251"/>
      <c r="M24" s="251"/>
      <c r="N24" s="251"/>
      <c r="O24" s="251"/>
      <c r="P24" s="251"/>
      <c r="Q24" s="302"/>
      <c r="R24" s="251"/>
      <c r="S24" s="251"/>
      <c r="T24" s="303"/>
      <c r="U24" s="251"/>
      <c r="V24" s="251"/>
      <c r="W24" s="251"/>
      <c r="X24" s="251"/>
      <c r="Y24" s="287"/>
      <c r="Z24" s="288"/>
      <c r="AA24" s="275"/>
      <c r="AB24" s="30"/>
      <c r="AC24" s="30"/>
    </row>
    <row r="25" spans="1:29" ht="15" customHeight="1">
      <c r="A25" s="401"/>
      <c r="B25" s="402"/>
      <c r="C25" s="403"/>
      <c r="D25" s="408" t="s">
        <v>21</v>
      </c>
      <c r="E25" s="395"/>
      <c r="F25" s="252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89"/>
      <c r="Z25" s="264"/>
      <c r="AA25" s="275"/>
      <c r="AB25" s="30"/>
      <c r="AC25" s="30"/>
    </row>
    <row r="26" spans="1:29" ht="15" customHeight="1">
      <c r="A26" s="401"/>
      <c r="B26" s="402"/>
      <c r="C26" s="403"/>
      <c r="D26" s="408" t="s">
        <v>25</v>
      </c>
      <c r="E26" s="395"/>
      <c r="F26" s="252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89"/>
      <c r="Z26" s="264"/>
      <c r="AA26" s="275"/>
      <c r="AB26" s="30"/>
      <c r="AC26" s="30"/>
    </row>
    <row r="27" spans="1:29" ht="15" customHeight="1">
      <c r="A27" s="401"/>
      <c r="B27" s="402"/>
      <c r="C27" s="403"/>
      <c r="D27" s="408" t="s">
        <v>27</v>
      </c>
      <c r="E27" s="395"/>
      <c r="F27" s="252"/>
      <c r="G27" s="253"/>
      <c r="H27" s="253"/>
      <c r="I27" s="253"/>
      <c r="J27" s="253"/>
      <c r="K27" s="253"/>
      <c r="L27" s="253"/>
      <c r="M27" s="253"/>
      <c r="N27" s="253"/>
      <c r="O27" s="253"/>
      <c r="P27" s="253"/>
      <c r="Q27" s="253"/>
      <c r="R27" s="253"/>
      <c r="S27" s="253"/>
      <c r="T27" s="253"/>
      <c r="U27" s="253"/>
      <c r="V27" s="253"/>
      <c r="W27" s="253"/>
      <c r="X27" s="253"/>
      <c r="Y27" s="289"/>
      <c r="Z27" s="264"/>
      <c r="AA27" s="275"/>
      <c r="AB27" s="30"/>
      <c r="AC27" s="30"/>
    </row>
    <row r="28" spans="1:29" ht="15" customHeight="1">
      <c r="A28" s="401"/>
      <c r="B28" s="402"/>
      <c r="C28" s="403"/>
      <c r="D28" s="408" t="s">
        <v>31</v>
      </c>
      <c r="E28" s="395"/>
      <c r="F28" s="252"/>
      <c r="G28" s="253"/>
      <c r="H28" s="253"/>
      <c r="I28" s="253"/>
      <c r="J28" s="253"/>
      <c r="K28" s="253"/>
      <c r="L28" s="253"/>
      <c r="M28" s="253"/>
      <c r="N28" s="253"/>
      <c r="O28" s="253"/>
      <c r="P28" s="253"/>
      <c r="Q28" s="253"/>
      <c r="R28" s="253"/>
      <c r="S28" s="253"/>
      <c r="T28" s="253"/>
      <c r="U28" s="253"/>
      <c r="V28" s="253"/>
      <c r="W28" s="253"/>
      <c r="X28" s="253"/>
      <c r="Y28" s="289"/>
      <c r="Z28" s="264"/>
      <c r="AA28" s="275"/>
      <c r="AB28" s="30"/>
      <c r="AC28" s="30"/>
    </row>
    <row r="29" spans="1:29" ht="15" customHeight="1" thickBot="1">
      <c r="A29" s="404"/>
      <c r="B29" s="405"/>
      <c r="C29" s="406"/>
      <c r="D29" s="409" t="s">
        <v>32</v>
      </c>
      <c r="E29" s="410"/>
      <c r="F29" s="254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90"/>
      <c r="Z29" s="291"/>
      <c r="AA29" s="275"/>
      <c r="AB29" s="30"/>
      <c r="AC29" s="30"/>
    </row>
    <row r="30" spans="1:29" ht="12.75" customHeight="1">
      <c r="A30" s="418" t="s">
        <v>33</v>
      </c>
      <c r="B30" s="399"/>
      <c r="C30" s="400"/>
      <c r="D30" s="392" t="s">
        <v>15</v>
      </c>
      <c r="E30" s="393"/>
      <c r="F30" s="242">
        <f t="shared" ref="F30:Y30" si="5">SUM(IF(F10="Taip",2.5,0),IF(F11="Taip",7.5,0),IF(F12="Taip",5,0),IF(F13="Taip",5,0),IF(F14="Taip",5,0))</f>
        <v>25</v>
      </c>
      <c r="G30" s="243">
        <f t="shared" si="5"/>
        <v>25</v>
      </c>
      <c r="H30" s="243">
        <f t="shared" si="5"/>
        <v>25</v>
      </c>
      <c r="I30" s="243">
        <f t="shared" si="5"/>
        <v>25</v>
      </c>
      <c r="J30" s="243">
        <f t="shared" si="5"/>
        <v>25</v>
      </c>
      <c r="K30" s="243">
        <f t="shared" si="5"/>
        <v>25</v>
      </c>
      <c r="L30" s="243">
        <f t="shared" si="5"/>
        <v>25</v>
      </c>
      <c r="M30" s="243">
        <f t="shared" si="5"/>
        <v>25</v>
      </c>
      <c r="N30" s="243">
        <f t="shared" si="5"/>
        <v>25</v>
      </c>
      <c r="O30" s="243">
        <f t="shared" si="5"/>
        <v>25</v>
      </c>
      <c r="P30" s="243">
        <f t="shared" si="5"/>
        <v>25</v>
      </c>
      <c r="Q30" s="243">
        <f t="shared" si="5"/>
        <v>25</v>
      </c>
      <c r="R30" s="243">
        <f t="shared" si="5"/>
        <v>25</v>
      </c>
      <c r="S30" s="243">
        <f t="shared" si="5"/>
        <v>25</v>
      </c>
      <c r="T30" s="243">
        <f t="shared" si="5"/>
        <v>25</v>
      </c>
      <c r="U30" s="243">
        <f t="shared" si="5"/>
        <v>25</v>
      </c>
      <c r="V30" s="243">
        <f t="shared" si="5"/>
        <v>25</v>
      </c>
      <c r="W30" s="243">
        <f t="shared" si="5"/>
        <v>25</v>
      </c>
      <c r="X30" s="243">
        <f t="shared" si="5"/>
        <v>25</v>
      </c>
      <c r="Y30" s="281">
        <f t="shared" si="5"/>
        <v>25</v>
      </c>
      <c r="Z30" s="292">
        <f t="shared" ref="Z30:Z33" si="6">AVERAGE(F30:Y30)</f>
        <v>25</v>
      </c>
      <c r="AA30" s="275"/>
      <c r="AB30" s="30"/>
      <c r="AC30" s="30"/>
    </row>
    <row r="31" spans="1:29" ht="12.75" customHeight="1">
      <c r="A31" s="401"/>
      <c r="B31" s="402"/>
      <c r="C31" s="403"/>
      <c r="D31" s="394" t="s">
        <v>21</v>
      </c>
      <c r="E31" s="395"/>
      <c r="F31" s="244">
        <f t="shared" ref="F31:Y31" si="7">SUM(IF(F15="Taip",5,0),IF(F16="Taip",5,0),IF(F17="Taip",10,0),IF(F18="Taip",5,0))</f>
        <v>25</v>
      </c>
      <c r="G31" s="245">
        <f t="shared" si="7"/>
        <v>25</v>
      </c>
      <c r="H31" s="245">
        <f t="shared" si="7"/>
        <v>25</v>
      </c>
      <c r="I31" s="245">
        <f t="shared" si="7"/>
        <v>25</v>
      </c>
      <c r="J31" s="245">
        <f t="shared" si="7"/>
        <v>25</v>
      </c>
      <c r="K31" s="245">
        <f t="shared" si="7"/>
        <v>25</v>
      </c>
      <c r="L31" s="245">
        <f t="shared" si="7"/>
        <v>25</v>
      </c>
      <c r="M31" s="245">
        <f t="shared" si="7"/>
        <v>25</v>
      </c>
      <c r="N31" s="245">
        <f t="shared" si="7"/>
        <v>25</v>
      </c>
      <c r="O31" s="245">
        <f t="shared" si="7"/>
        <v>25</v>
      </c>
      <c r="P31" s="245">
        <f t="shared" si="7"/>
        <v>25</v>
      </c>
      <c r="Q31" s="245">
        <f t="shared" si="7"/>
        <v>25</v>
      </c>
      <c r="R31" s="245">
        <f t="shared" si="7"/>
        <v>25</v>
      </c>
      <c r="S31" s="245">
        <f t="shared" si="7"/>
        <v>25</v>
      </c>
      <c r="T31" s="245">
        <f t="shared" si="7"/>
        <v>25</v>
      </c>
      <c r="U31" s="245">
        <f t="shared" si="7"/>
        <v>25</v>
      </c>
      <c r="V31" s="245">
        <f t="shared" si="7"/>
        <v>25</v>
      </c>
      <c r="W31" s="245">
        <f t="shared" si="7"/>
        <v>25</v>
      </c>
      <c r="X31" s="245">
        <f t="shared" si="7"/>
        <v>25</v>
      </c>
      <c r="Y31" s="282">
        <f t="shared" si="7"/>
        <v>25</v>
      </c>
      <c r="Z31" s="268">
        <f t="shared" si="6"/>
        <v>25</v>
      </c>
      <c r="AA31" s="275"/>
      <c r="AB31" s="30"/>
      <c r="AC31" s="30"/>
    </row>
    <row r="32" spans="1:29" ht="12.75" customHeight="1">
      <c r="A32" s="401"/>
      <c r="B32" s="402"/>
      <c r="C32" s="403"/>
      <c r="D32" s="315" t="s">
        <v>25</v>
      </c>
      <c r="E32" s="316"/>
      <c r="F32" s="244">
        <f t="shared" ref="F32:Y32" si="8">SUM(IF(F19="Taip",5,0),IF(F20="Taip",5,0),IF(F21="Taip",15,0))</f>
        <v>25</v>
      </c>
      <c r="G32" s="245">
        <f t="shared" si="8"/>
        <v>25</v>
      </c>
      <c r="H32" s="245">
        <f t="shared" si="8"/>
        <v>25</v>
      </c>
      <c r="I32" s="245">
        <f t="shared" si="8"/>
        <v>25</v>
      </c>
      <c r="J32" s="245">
        <f t="shared" si="8"/>
        <v>25</v>
      </c>
      <c r="K32" s="245">
        <f t="shared" si="8"/>
        <v>25</v>
      </c>
      <c r="L32" s="245">
        <f t="shared" si="8"/>
        <v>25</v>
      </c>
      <c r="M32" s="245">
        <f t="shared" si="8"/>
        <v>25</v>
      </c>
      <c r="N32" s="245">
        <f t="shared" si="8"/>
        <v>25</v>
      </c>
      <c r="O32" s="245">
        <f t="shared" si="8"/>
        <v>25</v>
      </c>
      <c r="P32" s="245">
        <f t="shared" si="8"/>
        <v>25</v>
      </c>
      <c r="Q32" s="245">
        <f t="shared" si="8"/>
        <v>25</v>
      </c>
      <c r="R32" s="245">
        <f t="shared" si="8"/>
        <v>25</v>
      </c>
      <c r="S32" s="245">
        <f t="shared" si="8"/>
        <v>25</v>
      </c>
      <c r="T32" s="245">
        <f t="shared" si="8"/>
        <v>25</v>
      </c>
      <c r="U32" s="245">
        <f t="shared" si="8"/>
        <v>25</v>
      </c>
      <c r="V32" s="245">
        <f t="shared" si="8"/>
        <v>25</v>
      </c>
      <c r="W32" s="245">
        <f t="shared" si="8"/>
        <v>25</v>
      </c>
      <c r="X32" s="245">
        <f t="shared" si="8"/>
        <v>25</v>
      </c>
      <c r="Y32" s="282">
        <f t="shared" si="8"/>
        <v>25</v>
      </c>
      <c r="Z32" s="268">
        <f t="shared" si="6"/>
        <v>25</v>
      </c>
      <c r="AA32" s="275"/>
      <c r="AB32" s="30"/>
      <c r="AC32" s="30"/>
    </row>
    <row r="33" spans="1:29" ht="12.75" customHeight="1" thickBot="1">
      <c r="A33" s="404"/>
      <c r="B33" s="405"/>
      <c r="C33" s="406"/>
      <c r="D33" s="256" t="s">
        <v>27</v>
      </c>
      <c r="E33" s="257"/>
      <c r="F33" s="246">
        <f t="shared" ref="F33:Y33" si="9">SUM(IF(F22="Taip",12.5,0),IF(F23="Taip",12.5,0))</f>
        <v>25</v>
      </c>
      <c r="G33" s="247">
        <f t="shared" si="9"/>
        <v>25</v>
      </c>
      <c r="H33" s="247">
        <f t="shared" si="9"/>
        <v>25</v>
      </c>
      <c r="I33" s="247">
        <f t="shared" si="9"/>
        <v>25</v>
      </c>
      <c r="J33" s="247">
        <f t="shared" si="9"/>
        <v>25</v>
      </c>
      <c r="K33" s="247">
        <f t="shared" si="9"/>
        <v>25</v>
      </c>
      <c r="L33" s="247">
        <f t="shared" si="9"/>
        <v>25</v>
      </c>
      <c r="M33" s="247">
        <f t="shared" si="9"/>
        <v>25</v>
      </c>
      <c r="N33" s="247">
        <f t="shared" si="9"/>
        <v>25</v>
      </c>
      <c r="O33" s="247">
        <f t="shared" si="9"/>
        <v>25</v>
      </c>
      <c r="P33" s="247">
        <f t="shared" si="9"/>
        <v>25</v>
      </c>
      <c r="Q33" s="247">
        <f t="shared" si="9"/>
        <v>25</v>
      </c>
      <c r="R33" s="247">
        <f t="shared" si="9"/>
        <v>25</v>
      </c>
      <c r="S33" s="247">
        <f t="shared" si="9"/>
        <v>25</v>
      </c>
      <c r="T33" s="247">
        <f t="shared" si="9"/>
        <v>25</v>
      </c>
      <c r="U33" s="247">
        <f t="shared" si="9"/>
        <v>25</v>
      </c>
      <c r="V33" s="247">
        <f t="shared" si="9"/>
        <v>25</v>
      </c>
      <c r="W33" s="247">
        <f t="shared" si="9"/>
        <v>25</v>
      </c>
      <c r="X33" s="247">
        <f t="shared" si="9"/>
        <v>25</v>
      </c>
      <c r="Y33" s="283">
        <f t="shared" si="9"/>
        <v>25</v>
      </c>
      <c r="Z33" s="293">
        <f t="shared" si="6"/>
        <v>25</v>
      </c>
      <c r="AA33" s="275"/>
      <c r="AB33" s="30"/>
      <c r="AC33" s="30"/>
    </row>
    <row r="34" spans="1:29" ht="12.75" customHeight="1">
      <c r="A34" s="9"/>
      <c r="B34" s="25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</row>
    <row r="35" spans="1:29" ht="12.75" customHeight="1">
      <c r="A35" s="9"/>
      <c r="B35" s="25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</row>
    <row r="36" spans="1:29" ht="12.75" customHeight="1">
      <c r="A36" s="9"/>
      <c r="B36" s="25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</row>
    <row r="37" spans="1:29" ht="12.75" customHeight="1">
      <c r="A37" s="9"/>
      <c r="B37" s="25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</row>
    <row r="38" spans="1:29" ht="12.75" customHeight="1">
      <c r="A38" s="9"/>
      <c r="B38" s="25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</row>
    <row r="39" spans="1:29" ht="12.75" customHeight="1">
      <c r="A39" s="9"/>
      <c r="B39" s="25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</row>
    <row r="40" spans="1:29" ht="12.75" customHeight="1">
      <c r="A40" s="9"/>
      <c r="B40" s="25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</row>
    <row r="41" spans="1:29" ht="12.75" customHeight="1">
      <c r="A41" s="9"/>
      <c r="B41" s="25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</row>
    <row r="42" spans="1:29" ht="12.75" customHeight="1">
      <c r="A42" s="9"/>
      <c r="B42" s="25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</row>
    <row r="43" spans="1:29" ht="12.75" customHeight="1">
      <c r="A43" s="9"/>
      <c r="B43" s="25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</row>
    <row r="44" spans="1:29" ht="12.75" customHeight="1">
      <c r="A44" s="9"/>
      <c r="B44" s="25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</row>
    <row r="45" spans="1:29" ht="12.75" customHeight="1">
      <c r="A45" s="9"/>
      <c r="B45" s="25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</row>
    <row r="46" spans="1:29" ht="12.75" customHeight="1">
      <c r="A46" s="9"/>
      <c r="B46" s="25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</row>
    <row r="47" spans="1:29" ht="12.75" customHeight="1">
      <c r="A47" s="9"/>
      <c r="B47" s="25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ht="12.75" customHeight="1">
      <c r="A48" s="9"/>
      <c r="B48" s="25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1:29" ht="12.75" customHeight="1">
      <c r="A49" s="9"/>
      <c r="B49" s="25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1:29" ht="12.75" customHeight="1">
      <c r="A50" s="9"/>
      <c r="B50" s="25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1:29" ht="12.75" customHeight="1">
      <c r="A51" s="9"/>
      <c r="B51" s="25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1:29" ht="12.75" customHeight="1">
      <c r="A52" s="9"/>
      <c r="B52" s="25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  <row r="53" spans="1:29" ht="12.75" customHeight="1">
      <c r="A53" s="9"/>
      <c r="B53" s="25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</row>
    <row r="54" spans="1:29" ht="12.75" customHeight="1">
      <c r="A54" s="9"/>
      <c r="B54" s="25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</row>
    <row r="55" spans="1:29" ht="12.75" customHeight="1">
      <c r="A55" s="9"/>
      <c r="B55" s="25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</row>
    <row r="56" spans="1:29" ht="12.75" customHeight="1">
      <c r="A56" s="9"/>
      <c r="B56" s="25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</row>
    <row r="57" spans="1:29" ht="12.75" customHeight="1">
      <c r="A57" s="9"/>
      <c r="B57" s="25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</row>
    <row r="58" spans="1:29" ht="12.75" customHeight="1">
      <c r="A58" s="9"/>
      <c r="B58" s="25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</row>
    <row r="59" spans="1:29" ht="12.75" customHeight="1">
      <c r="A59" s="9"/>
      <c r="B59" s="25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</row>
    <row r="60" spans="1:29" ht="12.75" customHeight="1">
      <c r="A60" s="9"/>
      <c r="B60" s="25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</row>
    <row r="61" spans="1:29" ht="12.75" customHeight="1">
      <c r="A61" s="9"/>
      <c r="B61" s="25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</row>
    <row r="62" spans="1:29" ht="12.75" customHeight="1">
      <c r="A62" s="9"/>
      <c r="B62" s="25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2.75" customHeight="1">
      <c r="A63" s="9"/>
      <c r="B63" s="25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</row>
    <row r="64" spans="1:29" ht="12.75" customHeight="1">
      <c r="A64" s="9"/>
      <c r="B64" s="25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</row>
    <row r="65" spans="1:29" ht="12.75" customHeight="1">
      <c r="A65" s="9"/>
      <c r="B65" s="25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</row>
    <row r="66" spans="1:29" ht="12.75" customHeight="1">
      <c r="A66" s="9"/>
      <c r="B66" s="25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</row>
    <row r="67" spans="1:29" ht="12.75" customHeight="1">
      <c r="A67" s="9"/>
      <c r="B67" s="25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</row>
    <row r="68" spans="1:29" ht="12.75" customHeight="1">
      <c r="A68" s="9"/>
      <c r="B68" s="25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</row>
    <row r="69" spans="1:29" ht="12.75" customHeight="1">
      <c r="A69" s="9"/>
      <c r="B69" s="25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</row>
    <row r="70" spans="1:29" ht="12.75" customHeight="1">
      <c r="A70" s="9"/>
      <c r="B70" s="25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</row>
    <row r="71" spans="1:29" ht="12.75" customHeight="1">
      <c r="A71" s="9"/>
      <c r="B71" s="25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</row>
    <row r="72" spans="1:29" ht="12.75" customHeight="1">
      <c r="A72" s="9"/>
      <c r="B72" s="25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</row>
    <row r="73" spans="1:29" ht="12.75" customHeight="1">
      <c r="A73" s="9"/>
      <c r="B73" s="25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</row>
    <row r="74" spans="1:29" ht="12.75" customHeight="1">
      <c r="A74" s="9"/>
      <c r="B74" s="25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29" ht="12.75" customHeight="1">
      <c r="A75" s="9"/>
      <c r="B75" s="25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</row>
    <row r="76" spans="1:29" ht="12.75" customHeight="1">
      <c r="A76" s="9"/>
      <c r="B76" s="25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29" ht="12.75" customHeight="1">
      <c r="A77" s="9"/>
      <c r="B77" s="25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</row>
    <row r="78" spans="1:29" ht="12.75" customHeight="1">
      <c r="A78" s="9"/>
      <c r="B78" s="25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</row>
    <row r="79" spans="1:29" ht="12.75" customHeight="1">
      <c r="A79" s="9"/>
      <c r="B79" s="25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</row>
    <row r="80" spans="1:29" ht="12.75" customHeight="1">
      <c r="A80" s="9"/>
      <c r="B80" s="25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</row>
    <row r="81" spans="1:29" ht="12.75" customHeight="1">
      <c r="A81" s="9"/>
      <c r="B81" s="25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</row>
    <row r="82" spans="1:29" ht="12.75" customHeight="1">
      <c r="A82" s="9"/>
      <c r="B82" s="25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</row>
    <row r="83" spans="1:29" ht="12.75" customHeight="1">
      <c r="A83" s="9"/>
      <c r="B83" s="25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</row>
    <row r="84" spans="1:29" ht="12.75" customHeight="1">
      <c r="A84" s="9"/>
      <c r="B84" s="25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</row>
    <row r="85" spans="1:29" ht="12.75" customHeight="1">
      <c r="A85" s="9"/>
      <c r="B85" s="25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</row>
    <row r="86" spans="1:29" ht="12.75" customHeight="1">
      <c r="A86" s="9"/>
      <c r="B86" s="25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</row>
    <row r="87" spans="1:29" ht="12.75" customHeight="1">
      <c r="A87" s="9"/>
      <c r="B87" s="25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</row>
    <row r="88" spans="1:29" ht="12.75" customHeight="1">
      <c r="A88" s="9"/>
      <c r="B88" s="25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</row>
    <row r="89" spans="1:29" ht="12.75" customHeight="1">
      <c r="A89" s="9"/>
      <c r="B89" s="25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</row>
    <row r="90" spans="1:29" ht="12.75" customHeight="1">
      <c r="A90" s="9"/>
      <c r="B90" s="25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</row>
    <row r="91" spans="1:29" ht="12.75" customHeight="1">
      <c r="A91" s="9"/>
      <c r="B91" s="25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</row>
    <row r="92" spans="1:29" ht="12.75" customHeight="1">
      <c r="A92" s="9"/>
      <c r="B92" s="258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</row>
    <row r="93" spans="1:29" ht="12.75" customHeight="1">
      <c r="A93" s="9"/>
      <c r="B93" s="258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</row>
    <row r="94" spans="1:29" ht="12.75" customHeight="1">
      <c r="A94" s="9"/>
      <c r="B94" s="258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</row>
    <row r="95" spans="1:29" ht="12.75" customHeight="1">
      <c r="A95" s="9"/>
      <c r="B95" s="258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</row>
    <row r="96" spans="1:29" ht="12.75" customHeight="1">
      <c r="A96" s="9"/>
      <c r="B96" s="258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</row>
    <row r="97" spans="1:29" ht="12.75" customHeight="1">
      <c r="A97" s="9"/>
      <c r="B97" s="258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</row>
    <row r="98" spans="1:29" ht="12.75" customHeight="1">
      <c r="A98" s="9"/>
      <c r="B98" s="258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</row>
    <row r="99" spans="1:29" ht="12.75" customHeight="1">
      <c r="A99" s="9"/>
      <c r="B99" s="258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</row>
    <row r="100" spans="1:29" ht="12.75" customHeight="1">
      <c r="A100" s="9"/>
      <c r="B100" s="258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</row>
    <row r="101" spans="1:29" ht="12.75" customHeight="1">
      <c r="A101" s="9"/>
      <c r="B101" s="258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</row>
    <row r="102" spans="1:29" ht="12.75" customHeight="1">
      <c r="A102" s="9"/>
      <c r="B102" s="258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</row>
    <row r="103" spans="1:29" ht="12.75" customHeight="1">
      <c r="A103" s="9"/>
      <c r="B103" s="258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29" ht="12.75" customHeight="1">
      <c r="A104" s="9"/>
      <c r="B104" s="258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</row>
    <row r="105" spans="1:29" ht="12.75" customHeight="1">
      <c r="A105" s="9"/>
      <c r="B105" s="258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</row>
    <row r="106" spans="1:29" ht="12.75" customHeight="1">
      <c r="A106" s="9"/>
      <c r="B106" s="258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</row>
    <row r="107" spans="1:29" ht="12.75" customHeight="1">
      <c r="A107" s="9"/>
      <c r="B107" s="258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</row>
    <row r="108" spans="1:29" ht="12.75" customHeight="1">
      <c r="A108" s="9"/>
      <c r="B108" s="258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</row>
    <row r="109" spans="1:29" ht="12.75" customHeight="1">
      <c r="A109" s="9"/>
      <c r="B109" s="258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</row>
    <row r="110" spans="1:29" ht="12.75" customHeight="1">
      <c r="A110" s="9"/>
      <c r="B110" s="258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</row>
    <row r="111" spans="1:29" ht="12.75" customHeight="1">
      <c r="A111" s="9"/>
      <c r="B111" s="258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</row>
    <row r="112" spans="1:29" ht="12.75" customHeight="1">
      <c r="A112" s="9"/>
      <c r="B112" s="258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</row>
    <row r="113" spans="1:29" ht="12.75" customHeight="1">
      <c r="A113" s="9"/>
      <c r="B113" s="258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</row>
    <row r="114" spans="1:29" ht="12.75" customHeight="1">
      <c r="A114" s="9"/>
      <c r="B114" s="258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ht="12.75" customHeight="1">
      <c r="A115" s="9"/>
      <c r="B115" s="258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ht="12.75" customHeight="1">
      <c r="A116" s="9"/>
      <c r="B116" s="258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ht="12.75" customHeight="1">
      <c r="A117" s="9"/>
      <c r="B117" s="258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</row>
    <row r="118" spans="1:29" ht="12.75" customHeight="1">
      <c r="A118" s="9"/>
      <c r="B118" s="258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</row>
    <row r="119" spans="1:29" ht="12.75" customHeight="1">
      <c r="A119" s="9"/>
      <c r="B119" s="258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</row>
    <row r="120" spans="1:29" ht="12.75" customHeight="1">
      <c r="A120" s="9"/>
      <c r="B120" s="258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</row>
    <row r="121" spans="1:29" ht="12.75" customHeight="1">
      <c r="A121" s="9"/>
      <c r="B121" s="258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</row>
    <row r="122" spans="1:29" ht="12.75" customHeight="1">
      <c r="A122" s="9"/>
      <c r="B122" s="258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</row>
    <row r="123" spans="1:29" ht="12.75" customHeight="1">
      <c r="A123" s="9"/>
      <c r="B123" s="258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</row>
    <row r="124" spans="1:29" ht="12.75" customHeight="1">
      <c r="A124" s="9"/>
      <c r="B124" s="258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</row>
    <row r="125" spans="1:29" ht="12.75" customHeight="1">
      <c r="A125" s="9"/>
      <c r="B125" s="258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</row>
    <row r="126" spans="1:29" ht="12.75" customHeight="1">
      <c r="A126" s="9"/>
      <c r="B126" s="258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</row>
    <row r="127" spans="1:29" ht="12.75" customHeight="1">
      <c r="A127" s="9"/>
      <c r="B127" s="258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</row>
    <row r="128" spans="1:29" ht="12.75" customHeight="1">
      <c r="A128" s="9"/>
      <c r="B128" s="258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</row>
    <row r="129" spans="1:29" ht="12.75" customHeight="1">
      <c r="A129" s="9"/>
      <c r="B129" s="258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</row>
    <row r="130" spans="1:29" ht="12.75" customHeight="1">
      <c r="A130" s="9"/>
      <c r="B130" s="258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</row>
    <row r="131" spans="1:29" ht="12.75" customHeight="1">
      <c r="A131" s="9"/>
      <c r="B131" s="258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</row>
    <row r="132" spans="1:29" ht="12.75" customHeight="1">
      <c r="A132" s="9"/>
      <c r="B132" s="258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</row>
    <row r="133" spans="1:29" ht="12.75" customHeight="1">
      <c r="A133" s="9"/>
      <c r="B133" s="258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</row>
    <row r="134" spans="1:29" ht="12.75" customHeight="1">
      <c r="A134" s="9"/>
      <c r="B134" s="258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</row>
    <row r="135" spans="1:29" ht="12.75" customHeight="1">
      <c r="A135" s="9"/>
      <c r="B135" s="258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</row>
    <row r="136" spans="1:29" ht="12.75" customHeight="1">
      <c r="A136" s="9"/>
      <c r="B136" s="258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</row>
    <row r="137" spans="1:29" ht="12.75" customHeight="1">
      <c r="A137" s="9"/>
      <c r="B137" s="258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</row>
    <row r="138" spans="1:29" ht="12.75" customHeight="1">
      <c r="A138" s="9"/>
      <c r="B138" s="258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</row>
    <row r="139" spans="1:29" ht="12.75" customHeight="1">
      <c r="A139" s="9"/>
      <c r="B139" s="258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</row>
    <row r="140" spans="1:29" ht="12.75" customHeight="1">
      <c r="A140" s="9"/>
      <c r="B140" s="258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</row>
    <row r="141" spans="1:29" ht="12.75" customHeight="1">
      <c r="A141" s="9"/>
      <c r="B141" s="258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</row>
    <row r="142" spans="1:29" ht="12.75" customHeight="1">
      <c r="A142" s="9"/>
      <c r="B142" s="258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</row>
    <row r="143" spans="1:29" ht="12.75" customHeight="1">
      <c r="A143" s="9"/>
      <c r="B143" s="258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</row>
    <row r="144" spans="1:29" ht="12.75" customHeight="1">
      <c r="A144" s="9"/>
      <c r="B144" s="258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</row>
    <row r="145" spans="1:29" ht="12.75" customHeight="1">
      <c r="A145" s="9"/>
      <c r="B145" s="258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1:29" ht="12.75" customHeight="1">
      <c r="A146" s="9"/>
      <c r="B146" s="258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</row>
    <row r="147" spans="1:29" ht="12.75" customHeight="1">
      <c r="A147" s="9"/>
      <c r="B147" s="258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</row>
    <row r="148" spans="1:29" ht="12.75" customHeight="1">
      <c r="A148" s="9"/>
      <c r="B148" s="258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</row>
    <row r="149" spans="1:29" ht="12.75" customHeight="1">
      <c r="A149" s="9"/>
      <c r="B149" s="258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</row>
    <row r="150" spans="1:29" ht="12.75" customHeight="1">
      <c r="A150" s="9"/>
      <c r="B150" s="258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</row>
    <row r="151" spans="1:29" ht="12.75" customHeight="1">
      <c r="A151" s="9"/>
      <c r="B151" s="258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</row>
    <row r="152" spans="1:29" ht="12.75" customHeight="1">
      <c r="A152" s="9"/>
      <c r="B152" s="258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</row>
    <row r="153" spans="1:29" ht="12.75" customHeight="1">
      <c r="A153" s="9"/>
      <c r="B153" s="258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</row>
    <row r="154" spans="1:29" ht="12.75" customHeight="1">
      <c r="A154" s="9"/>
      <c r="B154" s="258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</row>
    <row r="155" spans="1:29" ht="12.75" customHeight="1">
      <c r="A155" s="9"/>
      <c r="B155" s="258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</row>
    <row r="156" spans="1:29" ht="12.75" customHeight="1">
      <c r="A156" s="9"/>
      <c r="B156" s="258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</row>
    <row r="157" spans="1:29" ht="12.75" customHeight="1">
      <c r="A157" s="9"/>
      <c r="B157" s="258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</row>
    <row r="158" spans="1:29" ht="12.75" customHeight="1">
      <c r="A158" s="9"/>
      <c r="B158" s="258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</row>
    <row r="159" spans="1:29" ht="12.75" customHeight="1">
      <c r="A159" s="9"/>
      <c r="B159" s="258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</row>
    <row r="160" spans="1:29" ht="12.75" customHeight="1">
      <c r="A160" s="9"/>
      <c r="B160" s="258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</row>
    <row r="161" spans="1:29" ht="12.75" customHeight="1">
      <c r="A161" s="9"/>
      <c r="B161" s="258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</row>
    <row r="162" spans="1:29" ht="12.75" customHeight="1">
      <c r="A162" s="9"/>
      <c r="B162" s="258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</row>
    <row r="163" spans="1:29" ht="12.75" customHeight="1">
      <c r="A163" s="9"/>
      <c r="B163" s="258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</row>
    <row r="164" spans="1:29" ht="12.75" customHeight="1">
      <c r="A164" s="9"/>
      <c r="B164" s="258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</row>
    <row r="165" spans="1:29" ht="12.75" customHeight="1">
      <c r="A165" s="9"/>
      <c r="B165" s="258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</row>
    <row r="166" spans="1:29" ht="12.75" customHeight="1">
      <c r="A166" s="9"/>
      <c r="B166" s="258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</row>
    <row r="167" spans="1:29" ht="12.75" customHeight="1">
      <c r="A167" s="9"/>
      <c r="B167" s="258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</row>
    <row r="168" spans="1:29" ht="12.75" customHeight="1">
      <c r="A168" s="9"/>
      <c r="B168" s="258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</row>
    <row r="169" spans="1:29" ht="12.75" customHeight="1">
      <c r="A169" s="9"/>
      <c r="B169" s="258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</row>
    <row r="170" spans="1:29" ht="12.75" customHeight="1">
      <c r="A170" s="9"/>
      <c r="B170" s="258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</row>
    <row r="171" spans="1:29" ht="12.75" customHeight="1">
      <c r="A171" s="9"/>
      <c r="B171" s="258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</row>
    <row r="172" spans="1:29" ht="12.75" customHeight="1">
      <c r="A172" s="9"/>
      <c r="B172" s="258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</row>
    <row r="173" spans="1:29" ht="12.75" customHeight="1">
      <c r="A173" s="9"/>
      <c r="B173" s="258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</row>
    <row r="174" spans="1:29" ht="12.75" customHeight="1">
      <c r="A174" s="9"/>
      <c r="B174" s="258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</row>
    <row r="175" spans="1:29" ht="12.75" customHeight="1">
      <c r="A175" s="9"/>
      <c r="B175" s="258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</row>
    <row r="176" spans="1:29" ht="12.75" customHeight="1">
      <c r="A176" s="9"/>
      <c r="B176" s="258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</row>
    <row r="177" spans="1:29" ht="12.75" customHeight="1">
      <c r="A177" s="9"/>
      <c r="B177" s="258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</row>
    <row r="178" spans="1:29" ht="12.75" customHeight="1">
      <c r="A178" s="9"/>
      <c r="B178" s="258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</row>
    <row r="179" spans="1:29" ht="12.75" customHeight="1">
      <c r="A179" s="9"/>
      <c r="B179" s="258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</row>
    <row r="180" spans="1:29" ht="12.75" customHeight="1">
      <c r="A180" s="9"/>
      <c r="B180" s="258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</row>
    <row r="181" spans="1:29" ht="12.75" customHeight="1">
      <c r="A181" s="9"/>
      <c r="B181" s="258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</row>
    <row r="182" spans="1:29" ht="12.75" customHeight="1">
      <c r="A182" s="9"/>
      <c r="B182" s="258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</row>
    <row r="183" spans="1:29" ht="12.75" customHeight="1">
      <c r="A183" s="9"/>
      <c r="B183" s="258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</row>
    <row r="184" spans="1:29" ht="12.75" customHeight="1">
      <c r="A184" s="9"/>
      <c r="B184" s="258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</row>
    <row r="185" spans="1:29" ht="12.75" customHeight="1">
      <c r="A185" s="9"/>
      <c r="B185" s="258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</row>
    <row r="186" spans="1:29" ht="12.75" customHeight="1">
      <c r="A186" s="9"/>
      <c r="B186" s="258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</row>
    <row r="187" spans="1:29" ht="12.75" customHeight="1">
      <c r="A187" s="9"/>
      <c r="B187" s="258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</row>
    <row r="188" spans="1:29" ht="12.75" customHeight="1">
      <c r="A188" s="9"/>
      <c r="B188" s="258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</row>
    <row r="189" spans="1:29" ht="12.75" customHeight="1">
      <c r="A189" s="9"/>
      <c r="B189" s="258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</row>
    <row r="190" spans="1:29" ht="12.75" customHeight="1">
      <c r="A190" s="9"/>
      <c r="B190" s="258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</row>
    <row r="191" spans="1:29" ht="12.75" customHeight="1">
      <c r="A191" s="9"/>
      <c r="B191" s="258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</row>
    <row r="192" spans="1:29" ht="12.75" customHeight="1">
      <c r="A192" s="9"/>
      <c r="B192" s="258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</row>
    <row r="193" spans="1:29" ht="12.75" customHeight="1">
      <c r="A193" s="9"/>
      <c r="B193" s="258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</row>
    <row r="194" spans="1:29" ht="12.75" customHeight="1">
      <c r="A194" s="9"/>
      <c r="B194" s="258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</row>
    <row r="195" spans="1:29" ht="12.75" customHeight="1">
      <c r="A195" s="9"/>
      <c r="B195" s="258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</row>
    <row r="196" spans="1:29" ht="12.75" customHeight="1">
      <c r="A196" s="9"/>
      <c r="B196" s="258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</row>
    <row r="197" spans="1:29" ht="12.75" customHeight="1">
      <c r="A197" s="9"/>
      <c r="B197" s="258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</row>
    <row r="198" spans="1:29" ht="12.75" customHeight="1">
      <c r="A198" s="9"/>
      <c r="B198" s="258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</row>
    <row r="199" spans="1:29" ht="12.75" customHeight="1">
      <c r="A199" s="9"/>
      <c r="B199" s="258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</row>
    <row r="200" spans="1:29" ht="12.75" customHeight="1">
      <c r="A200" s="9"/>
      <c r="B200" s="258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</row>
    <row r="201" spans="1:29" ht="12.75" customHeight="1">
      <c r="A201" s="9"/>
      <c r="B201" s="258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</row>
    <row r="202" spans="1:29" ht="12.75" customHeight="1">
      <c r="A202" s="9"/>
      <c r="B202" s="258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</row>
    <row r="203" spans="1:29" ht="12.75" customHeight="1">
      <c r="A203" s="9"/>
      <c r="B203" s="258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</row>
    <row r="204" spans="1:29" ht="12.75" customHeight="1">
      <c r="A204" s="9"/>
      <c r="B204" s="258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</row>
    <row r="205" spans="1:29" ht="12.75" customHeight="1">
      <c r="A205" s="9"/>
      <c r="B205" s="258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</row>
    <row r="206" spans="1:29" ht="12.75" customHeight="1">
      <c r="A206" s="9"/>
      <c r="B206" s="258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</row>
    <row r="207" spans="1:29" ht="12.75" customHeight="1">
      <c r="A207" s="9"/>
      <c r="B207" s="258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</row>
    <row r="208" spans="1:29" ht="12.75" customHeight="1">
      <c r="A208" s="9"/>
      <c r="B208" s="258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</row>
    <row r="209" spans="1:29" ht="12.75" customHeight="1">
      <c r="A209" s="9"/>
      <c r="B209" s="258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</row>
    <row r="210" spans="1:29" ht="12.75" customHeight="1">
      <c r="A210" s="9"/>
      <c r="B210" s="258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</row>
    <row r="211" spans="1:29" ht="12.75" customHeight="1">
      <c r="A211" s="9"/>
      <c r="B211" s="258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</row>
    <row r="212" spans="1:29" ht="12.75" customHeight="1">
      <c r="A212" s="9"/>
      <c r="B212" s="258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</row>
    <row r="213" spans="1:29" ht="12.75" customHeight="1">
      <c r="A213" s="9"/>
      <c r="B213" s="258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</row>
    <row r="214" spans="1:29" ht="12.75" customHeight="1">
      <c r="A214" s="9"/>
      <c r="B214" s="258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</row>
    <row r="215" spans="1:29" ht="12.75" customHeight="1">
      <c r="A215" s="9"/>
      <c r="B215" s="258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</row>
    <row r="216" spans="1:29" ht="12.75" customHeight="1">
      <c r="A216" s="9"/>
      <c r="B216" s="258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</row>
    <row r="217" spans="1:29" ht="12.75" customHeight="1">
      <c r="A217" s="9"/>
      <c r="B217" s="258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</row>
    <row r="218" spans="1:29" ht="12.75" customHeight="1">
      <c r="A218" s="9"/>
      <c r="B218" s="258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</row>
    <row r="219" spans="1:29" ht="12.75" customHeight="1">
      <c r="A219" s="9"/>
      <c r="B219" s="258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</row>
    <row r="220" spans="1:29" ht="12.75" customHeight="1">
      <c r="A220" s="9"/>
      <c r="B220" s="258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</row>
    <row r="221" spans="1:29" ht="12.75" customHeight="1">
      <c r="A221" s="9"/>
      <c r="B221" s="258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</row>
    <row r="222" spans="1:29" ht="12.75" customHeight="1">
      <c r="A222" s="9"/>
      <c r="B222" s="258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</row>
    <row r="223" spans="1:29" ht="12.75" customHeight="1">
      <c r="A223" s="9"/>
      <c r="B223" s="258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</row>
    <row r="224" spans="1:29" ht="12.75" customHeight="1">
      <c r="A224" s="9"/>
      <c r="B224" s="258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</row>
    <row r="225" spans="1:29" ht="12.75" customHeight="1">
      <c r="A225" s="9"/>
      <c r="B225" s="258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</row>
    <row r="226" spans="1:29" ht="12.75" customHeight="1">
      <c r="A226" s="9"/>
      <c r="B226" s="258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</row>
    <row r="227" spans="1:29" ht="12.75" customHeight="1">
      <c r="A227" s="9"/>
      <c r="B227" s="258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</row>
    <row r="228" spans="1:29" ht="12.75" customHeight="1">
      <c r="A228" s="9"/>
      <c r="B228" s="258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</row>
    <row r="229" spans="1:29" ht="12.75" customHeight="1">
      <c r="A229" s="9"/>
      <c r="B229" s="258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</row>
    <row r="230" spans="1:29" ht="12.75" customHeight="1">
      <c r="A230" s="9"/>
      <c r="B230" s="258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</row>
    <row r="231" spans="1:29" ht="12.75" customHeight="1">
      <c r="A231" s="9"/>
      <c r="B231" s="258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</row>
    <row r="232" spans="1:29" ht="12.75" customHeight="1">
      <c r="A232" s="9"/>
      <c r="B232" s="258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</row>
    <row r="233" spans="1:29" ht="12.75" customHeight="1">
      <c r="A233" s="9"/>
      <c r="B233" s="258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</row>
    <row r="234" spans="1:29" ht="15.75" customHeight="1">
      <c r="A234" s="309"/>
      <c r="B234" s="309"/>
      <c r="C234" s="309"/>
      <c r="D234" s="309"/>
      <c r="E234" s="309"/>
      <c r="F234" s="309"/>
      <c r="G234" s="309"/>
      <c r="H234" s="309"/>
      <c r="I234" s="309"/>
      <c r="J234" s="309"/>
      <c r="K234" s="309"/>
      <c r="L234" s="309"/>
      <c r="M234" s="309"/>
      <c r="N234" s="309"/>
      <c r="O234" s="309"/>
      <c r="P234" s="309"/>
      <c r="Q234" s="309"/>
      <c r="R234" s="309"/>
      <c r="S234" s="309"/>
      <c r="T234" s="309"/>
      <c r="U234" s="309"/>
      <c r="V234" s="309"/>
      <c r="W234" s="309"/>
      <c r="X234" s="309"/>
      <c r="Y234" s="309"/>
      <c r="Z234" s="309"/>
      <c r="AA234" s="309"/>
      <c r="AB234" s="309"/>
      <c r="AC234" s="309"/>
    </row>
    <row r="235" spans="1:29" ht="15.75" customHeight="1">
      <c r="A235" s="309"/>
      <c r="B235" s="309"/>
      <c r="C235" s="309"/>
      <c r="D235" s="309"/>
      <c r="E235" s="309"/>
      <c r="F235" s="309"/>
      <c r="G235" s="309"/>
      <c r="H235" s="309"/>
      <c r="I235" s="309"/>
      <c r="J235" s="309"/>
      <c r="K235" s="309"/>
      <c r="L235" s="309"/>
      <c r="M235" s="309"/>
      <c r="N235" s="309"/>
      <c r="O235" s="309"/>
      <c r="P235" s="309"/>
      <c r="Q235" s="309"/>
      <c r="R235" s="309"/>
      <c r="S235" s="309"/>
      <c r="T235" s="309"/>
      <c r="U235" s="309"/>
      <c r="V235" s="309"/>
      <c r="W235" s="309"/>
      <c r="X235" s="309"/>
      <c r="Y235" s="309"/>
      <c r="Z235" s="309"/>
      <c r="AA235" s="309"/>
      <c r="AB235" s="309"/>
      <c r="AC235" s="309"/>
    </row>
    <row r="236" spans="1:29" ht="15.75" customHeight="1">
      <c r="A236" s="309"/>
      <c r="B236" s="309"/>
      <c r="C236" s="309"/>
      <c r="D236" s="309"/>
      <c r="E236" s="309"/>
      <c r="F236" s="309"/>
      <c r="G236" s="309"/>
      <c r="H236" s="309"/>
      <c r="I236" s="309"/>
      <c r="J236" s="309"/>
      <c r="K236" s="309"/>
      <c r="L236" s="309"/>
      <c r="M236" s="309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  <c r="AA236" s="309"/>
      <c r="AB236" s="309"/>
      <c r="AC236" s="309"/>
    </row>
    <row r="237" spans="1:29" ht="15.75" customHeight="1">
      <c r="A237" s="309"/>
      <c r="B237" s="309"/>
      <c r="C237" s="309"/>
      <c r="D237" s="309"/>
      <c r="E237" s="309"/>
      <c r="F237" s="309"/>
      <c r="G237" s="309"/>
      <c r="H237" s="309"/>
      <c r="I237" s="309"/>
      <c r="J237" s="309"/>
      <c r="K237" s="309"/>
      <c r="L237" s="309"/>
      <c r="M237" s="309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  <c r="AA237" s="309"/>
      <c r="AB237" s="309"/>
      <c r="AC237" s="309"/>
    </row>
    <row r="238" spans="1:29" ht="15.75" customHeight="1">
      <c r="A238" s="309"/>
      <c r="B238" s="309"/>
      <c r="C238" s="309"/>
      <c r="D238" s="309"/>
      <c r="E238" s="309"/>
      <c r="F238" s="309"/>
      <c r="G238" s="309"/>
      <c r="H238" s="309"/>
      <c r="I238" s="309"/>
      <c r="J238" s="309"/>
      <c r="K238" s="309"/>
      <c r="L238" s="309"/>
      <c r="M238" s="309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  <c r="AA238" s="309"/>
      <c r="AB238" s="309"/>
      <c r="AC238" s="309"/>
    </row>
    <row r="239" spans="1:29" ht="15.75" customHeight="1">
      <c r="A239" s="309"/>
      <c r="B239" s="309"/>
      <c r="C239" s="309"/>
      <c r="D239" s="309"/>
      <c r="E239" s="309"/>
      <c r="F239" s="309"/>
      <c r="G239" s="309"/>
      <c r="H239" s="309"/>
      <c r="I239" s="309"/>
      <c r="J239" s="309"/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  <c r="AA239" s="309"/>
      <c r="AB239" s="309"/>
      <c r="AC239" s="309"/>
    </row>
    <row r="240" spans="1:29" ht="15.75" customHeight="1">
      <c r="A240" s="309"/>
      <c r="B240" s="309"/>
      <c r="C240" s="309"/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  <c r="AA240" s="309"/>
      <c r="AB240" s="309"/>
      <c r="AC240" s="309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C8"/>
    <mergeCell ref="D1:E1"/>
    <mergeCell ref="D2:E2"/>
    <mergeCell ref="D3:E3"/>
    <mergeCell ref="D4:E4"/>
    <mergeCell ref="D5:E5"/>
    <mergeCell ref="AA5:AB5"/>
    <mergeCell ref="D6:E6"/>
    <mergeCell ref="AA6:AB6"/>
    <mergeCell ref="D8:E8"/>
    <mergeCell ref="AA8:AB8"/>
    <mergeCell ref="D28:E28"/>
    <mergeCell ref="D29:E29"/>
    <mergeCell ref="A30:C33"/>
    <mergeCell ref="D30:E30"/>
    <mergeCell ref="D31:E31"/>
    <mergeCell ref="A24:C29"/>
    <mergeCell ref="D24:E24"/>
    <mergeCell ref="D25:E25"/>
    <mergeCell ref="D26:E26"/>
    <mergeCell ref="D27:E27"/>
  </mergeCells>
  <conditionalFormatting sqref="F5:Y5">
    <cfRule type="containsText" dxfId="26" priority="1" operator="containsText" text="TAIP">
      <formula>NOT(ISERROR(SEARCH("TAIP",F5)))</formula>
    </cfRule>
  </conditionalFormatting>
  <conditionalFormatting sqref="F7:Y7">
    <cfRule type="containsText" dxfId="25" priority="2" operator="containsText" text="NE">
      <formula>NOT(ISERROR(SEARCH("NE",F7)))</formula>
    </cfRule>
    <cfRule type="containsText" dxfId="24" priority="3" operator="containsText" text="TAIP">
      <formula>NOT(ISERROR(SEARCH("TAIP",F7)))</formula>
    </cfRule>
  </conditionalFormatting>
  <conditionalFormatting sqref="F8:Y8">
    <cfRule type="containsText" dxfId="23" priority="4" operator="containsText" text="100,0%">
      <formula>NOT(ISERROR(SEARCH("100,0%",F8)))</formula>
    </cfRule>
    <cfRule type="cellIs" dxfId="22" priority="5" stopIfTrue="1" operator="equal">
      <formula>"Inc/Error"</formula>
    </cfRule>
  </conditionalFormatting>
  <conditionalFormatting sqref="F2:I4 K2:K4 Q2 R4 U2:Y2 U4:Y4 V3:Y3">
    <cfRule type="containsBlanks" dxfId="21" priority="6">
      <formula>LEN(TRIM(F2))=0</formula>
    </cfRule>
  </conditionalFormatting>
  <conditionalFormatting sqref="F10:Y23">
    <cfRule type="containsText" dxfId="20" priority="7" operator="containsText" text="Ne">
      <formula>NOT(ISERROR(SEARCH("Ne",F10)))</formula>
    </cfRule>
    <cfRule type="containsText" dxfId="19" priority="8" operator="containsText" text="Taip">
      <formula>NOT(ISERROR(SEARCH("Taip",F10)))</formula>
    </cfRule>
  </conditionalFormatting>
  <conditionalFormatting sqref="F24:Y29">
    <cfRule type="containsBlanks" dxfId="18" priority="9">
      <formula>LEN(TRIM(F24))=0</formula>
    </cfRule>
  </conditionalFormatting>
  <conditionalFormatting sqref="F30:Y33">
    <cfRule type="containsText" dxfId="17" priority="10" operator="containsText" text="25">
      <formula>NOT(ISERROR(SEARCH("25",F30)))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18A1CEC9-4860-489D-BAFC-47775CB0575A}">
          <x14:formula1>
            <xm:f>atsakymai!$A$2:$A$4</xm:f>
          </x14:formula1>
          <xm:sqref>F10:Y23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1000"/>
  <sheetViews>
    <sheetView workbookViewId="0">
      <selection activeCell="F13" sqref="F13"/>
    </sheetView>
  </sheetViews>
  <sheetFormatPr defaultColWidth="14.44140625" defaultRowHeight="15" customHeight="1"/>
  <cols>
    <col min="1" max="1" width="18.5546875" customWidth="1"/>
    <col min="2" max="6" width="8.6640625" customWidth="1"/>
  </cols>
  <sheetData>
    <row r="1" spans="1:1" ht="12.75" customHeight="1">
      <c r="A1" s="7" t="s">
        <v>34</v>
      </c>
    </row>
    <row r="2" spans="1:1" ht="12.75" customHeight="1">
      <c r="A2" s="218" t="s">
        <v>17</v>
      </c>
    </row>
    <row r="3" spans="1:1" ht="12.75" customHeight="1">
      <c r="A3" s="219" t="s">
        <v>19</v>
      </c>
    </row>
    <row r="4" spans="1:1" ht="12.75" customHeight="1">
      <c r="A4" s="9" t="s">
        <v>35</v>
      </c>
    </row>
    <row r="5" spans="1:1" ht="12.75" customHeight="1">
      <c r="A5" s="309"/>
    </row>
    <row r="6" spans="1:1" ht="12.75" customHeight="1">
      <c r="A6" s="309"/>
    </row>
    <row r="7" spans="1:1" ht="12.75" customHeight="1">
      <c r="A7" s="309"/>
    </row>
    <row r="8" spans="1:1" ht="12.75" customHeight="1">
      <c r="A8" s="309"/>
    </row>
    <row r="9" spans="1:1" ht="12.75" customHeight="1">
      <c r="A9" s="309"/>
    </row>
    <row r="10" spans="1:1" ht="12.75" customHeight="1">
      <c r="A10" s="309"/>
    </row>
    <row r="11" spans="1:1" ht="12.75" customHeight="1">
      <c r="A11" s="309"/>
    </row>
    <row r="12" spans="1:1" ht="12.75" customHeight="1">
      <c r="A12" s="309"/>
    </row>
    <row r="13" spans="1:1" ht="12.75" customHeight="1">
      <c r="A13" s="309"/>
    </row>
    <row r="14" spans="1:1" ht="12.75" customHeight="1">
      <c r="A14" s="309"/>
    </row>
    <row r="15" spans="1:1" ht="12.75" customHeight="1">
      <c r="A15" s="309"/>
    </row>
    <row r="16" spans="1:1" ht="12.75" customHeight="1">
      <c r="A16" s="309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69930555555555596" right="0.69930555555555596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CC0D9"/>
    <pageSetUpPr fitToPage="1"/>
  </sheetPr>
  <dimension ref="A1:Z1000"/>
  <sheetViews>
    <sheetView showGridLines="0" workbookViewId="0"/>
  </sheetViews>
  <sheetFormatPr defaultColWidth="14.44140625" defaultRowHeight="15" customHeight="1"/>
  <cols>
    <col min="1" max="1" width="3.6640625" customWidth="1"/>
    <col min="2" max="2" width="55.109375" customWidth="1"/>
    <col min="3" max="3" width="12.6640625" customWidth="1"/>
    <col min="4" max="4" width="4.33203125" customWidth="1"/>
    <col min="5" max="5" width="55.33203125" customWidth="1"/>
    <col min="6" max="6" width="12.6640625" customWidth="1"/>
    <col min="7" max="7" width="4.5546875" customWidth="1"/>
    <col min="8" max="8" width="71" customWidth="1"/>
    <col min="9" max="9" width="14.88671875" customWidth="1"/>
    <col min="10" max="26" width="8.6640625" customWidth="1"/>
  </cols>
  <sheetData>
    <row r="1" spans="1:26" ht="12.75" customHeight="1">
      <c r="A1" s="138">
        <v>1</v>
      </c>
      <c r="B1" s="317" t="s">
        <v>36</v>
      </c>
      <c r="C1" s="139" t="s">
        <v>37</v>
      </c>
      <c r="D1" s="9"/>
      <c r="E1" s="420" t="s">
        <v>38</v>
      </c>
      <c r="F1" s="402"/>
      <c r="G1" s="402"/>
      <c r="H1" s="402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2.75" customHeight="1">
      <c r="A2" s="9"/>
      <c r="B2" s="311" t="str">
        <f>FormNm</f>
        <v>EMEA Consumer Services</v>
      </c>
      <c r="C2" s="140" t="str">
        <f>FormVer</f>
        <v>v3b</v>
      </c>
      <c r="D2" s="9"/>
      <c r="E2" s="402"/>
      <c r="F2" s="402"/>
      <c r="G2" s="402"/>
      <c r="H2" s="402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2.75" customHeight="1">
      <c r="A3" s="14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2.75" customHeight="1">
      <c r="A4" s="141"/>
      <c r="B4" s="427" t="e">
        <v>#REF!</v>
      </c>
      <c r="C4" s="412"/>
      <c r="D4" s="9"/>
      <c r="E4" s="142" t="e">
        <f>Cust1Tag</f>
        <v>#NAME?</v>
      </c>
      <c r="F4" s="143" t="e">
        <v>#NAME?</v>
      </c>
      <c r="G4" s="9"/>
      <c r="H4" s="144" t="e">
        <f>Sec01Tag</f>
        <v>#NAME?</v>
      </c>
      <c r="I4" s="213" t="e">
        <v>#NAME?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2.75" customHeight="1">
      <c r="A5" s="141"/>
      <c r="B5" s="428" t="s">
        <v>39</v>
      </c>
      <c r="C5" s="400"/>
      <c r="D5" s="9"/>
      <c r="E5" s="145" t="e">
        <f>Cust2Tag</f>
        <v>#NAME?</v>
      </c>
      <c r="F5" s="146" t="e">
        <f>HLOOKUP($A$1,RefEvAns,ROW(Cust2Tag),0)</f>
        <v>#REF!</v>
      </c>
      <c r="G5" s="9"/>
      <c r="H5" s="147" t="e">
        <f>Sec02Tag</f>
        <v>#NAME?</v>
      </c>
      <c r="I5" s="214" t="e">
        <f>HLOOKUP($A$1,RefEvAns,ROW(Sct02Score),0)</f>
        <v>#REF!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3.5" customHeight="1">
      <c r="A6" s="141"/>
      <c r="B6" s="421" t="e">
        <f>HLOOKUP($A$1,RefEvAns,ROW(EmpTag),0)</f>
        <v>#REF!</v>
      </c>
      <c r="C6" s="400"/>
      <c r="D6" s="9"/>
      <c r="E6" s="145" t="e">
        <f>Cust3Tag</f>
        <v>#NAME?</v>
      </c>
      <c r="F6" s="148" t="e">
        <f>HLOOKUP($A$1,RefEvAns,ROW(Cust3Tag),0)</f>
        <v>#REF!</v>
      </c>
      <c r="G6" s="9"/>
      <c r="H6" s="149" t="e">
        <f>Sec03Tag</f>
        <v>#NAME?</v>
      </c>
      <c r="I6" s="215" t="e">
        <f>HLOOKUP($A$1,RefEvAns,ROW(Sct03Score),0)</f>
        <v>#REF!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3.5" customHeight="1">
      <c r="A7" s="141"/>
      <c r="B7" s="401"/>
      <c r="C7" s="403"/>
      <c r="D7" s="9"/>
      <c r="E7" s="150" t="e">
        <f>Cust4Tag</f>
        <v>#NAME?</v>
      </c>
      <c r="F7" s="146" t="e">
        <v>#NAME?</v>
      </c>
      <c r="G7" s="9"/>
      <c r="H7" s="151" t="e">
        <f>Sec04Tag</f>
        <v>#NAME?</v>
      </c>
      <c r="I7" s="216" t="e">
        <f>HLOOKUP($A$1,RefEvAns,ROW(Sct04Score),0)</f>
        <v>#REF!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3.5" customHeight="1">
      <c r="A8" s="141"/>
      <c r="B8" s="404"/>
      <c r="C8" s="406"/>
      <c r="D8" s="9"/>
      <c r="E8" s="152" t="e">
        <f>Cust5Tag</f>
        <v>#NAME?</v>
      </c>
      <c r="F8" s="153" t="e">
        <f>HLOOKUP($A$1,RefEvAns,ROW(Cust5Tag),0)</f>
        <v>#REF!</v>
      </c>
      <c r="G8" s="9"/>
      <c r="H8" s="154"/>
      <c r="I8" s="217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2.75" customHeight="1">
      <c r="A9" s="141"/>
      <c r="B9" s="142" t="s">
        <v>40</v>
      </c>
      <c r="C9" s="155" t="e">
        <f>HLOOKUP($A$1,RefEvAns,ROW(DateTag),0)</f>
        <v>#REF!</v>
      </c>
      <c r="D9" s="9"/>
      <c r="E9" s="142" t="s">
        <v>41</v>
      </c>
      <c r="F9" s="156" t="e">
        <f>HLOOKUP($A$1,RefEvAns,ROW(FCRTag),0)</f>
        <v>#REF!</v>
      </c>
      <c r="G9" s="9"/>
      <c r="H9" s="423" t="s">
        <v>42</v>
      </c>
      <c r="I9" s="424" t="e">
        <f>HLOOKUP($A$1,RefEvAns,ROW(ScoreTag),0)</f>
        <v>#REF!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3.5" customHeight="1">
      <c r="A10" s="141"/>
      <c r="B10" s="145" t="s">
        <v>43</v>
      </c>
      <c r="C10" s="157" t="e">
        <f>HLOOKUP($A$1,RefEvAns,ROW(RecTag),0)</f>
        <v>#REF!</v>
      </c>
      <c r="D10" s="9"/>
      <c r="E10" s="158" t="s">
        <v>44</v>
      </c>
      <c r="F10" s="159" t="e">
        <f>HLOOKUP($A$1,RefEvAns,ROW(WowTag),0)</f>
        <v>#REF!</v>
      </c>
      <c r="G10" s="9"/>
      <c r="H10" s="401"/>
      <c r="I10" s="42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2.75" customHeight="1">
      <c r="A11" s="141"/>
      <c r="B11" s="160" t="s">
        <v>45</v>
      </c>
      <c r="C11" s="161" t="e">
        <f>HLOOKUP($A$1,RefEvAns,ROW(RefTag),0)</f>
        <v>#REF!</v>
      </c>
      <c r="D11" s="6"/>
      <c r="E11" s="162" t="s">
        <v>46</v>
      </c>
      <c r="F11" s="163" t="e">
        <f>HLOOKUP($A$1,RefEvAns,ROW(FETag),0)</f>
        <v>#REF!</v>
      </c>
      <c r="G11" s="9"/>
      <c r="H11" s="404"/>
      <c r="I11" s="426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2.75" customHeight="1">
      <c r="A12" s="14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7.75" customHeight="1">
      <c r="A13" s="141"/>
      <c r="B13" s="164" t="e">
        <f>Sec01Tag</f>
        <v>#NAME?</v>
      </c>
      <c r="C13" s="165" t="e">
        <f>HLOOKUP($A$1,RefEvAns,ROW(Sct01Score),0)</f>
        <v>#REF!</v>
      </c>
      <c r="D13" s="166"/>
      <c r="E13" s="167" t="e">
        <f>Sec03Tag</f>
        <v>#NAME?</v>
      </c>
      <c r="F13" s="168" t="e">
        <f>HLOOKUP($A$1,RefEvAns,ROW(Sct03Score),0)</f>
        <v>#REF!</v>
      </c>
      <c r="G13" s="9"/>
      <c r="H13" s="429" t="e">
        <f>Sec01Tag</f>
        <v>#NAME?</v>
      </c>
      <c r="I13" s="400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7.75" customHeight="1">
      <c r="A14" s="141"/>
      <c r="B14" s="169" t="s">
        <v>47</v>
      </c>
      <c r="C14" s="170" t="s">
        <v>48</v>
      </c>
      <c r="D14" s="171"/>
      <c r="E14" s="172" t="s">
        <v>47</v>
      </c>
      <c r="F14" s="173" t="s">
        <v>48</v>
      </c>
      <c r="G14" s="9"/>
      <c r="H14" s="422" t="e">
        <f>IF(HLOOKUP($A$1,RefEvAns,ROW(Sct01Comts),0)=0,"No Comments",HLOOKUP($A$1,RefEvAns,ROW(Sct01Comts),0))</f>
        <v>#REF!</v>
      </c>
      <c r="I14" s="400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27.75" customHeight="1">
      <c r="A15" s="141">
        <v>1</v>
      </c>
      <c r="B15" s="174" t="e">
        <f>#REF!</f>
        <v>#REF!</v>
      </c>
      <c r="C15" s="175" t="e">
        <f>HLOOKUP($A$1,RefEvAns,ROW(QuesTitleRow)+VLOOKUP(SctNm01,SecWeight,3,0)+$A15,0)</f>
        <v>#REF!</v>
      </c>
      <c r="D15" s="176"/>
      <c r="E15" s="177" t="s">
        <v>49</v>
      </c>
      <c r="F15" s="178" t="e">
        <f>HLOOKUP($A$1,RefEvAns,ROW(QuesTitleRow)+VLOOKUP(SctNm03,SecWeight,3,0)+$A15,0)</f>
        <v>#REF!</v>
      </c>
      <c r="G15" s="9"/>
      <c r="H15" s="401"/>
      <c r="I15" s="40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27.75" customHeight="1">
      <c r="A16" s="141">
        <v>2</v>
      </c>
      <c r="B16" s="174" t="e">
        <f>#REF!</f>
        <v>#REF!</v>
      </c>
      <c r="C16" s="175" t="e">
        <f>HLOOKUP($A$1,RefEvAns,ROW(QuesTitleRow)+VLOOKUP(SctNm01,SecWeight,3,0)+$A16,0)</f>
        <v>#REF!</v>
      </c>
      <c r="D16" s="176"/>
      <c r="E16" s="177" t="e">
        <f>#REF!</f>
        <v>#REF!</v>
      </c>
      <c r="F16" s="178" t="e">
        <f>HLOOKUP($A$1,RefEvAns,ROW(QuesTitleRow)+VLOOKUP(SctNm03,SecWeight,3,0)+$A16,0)</f>
        <v>#REF!</v>
      </c>
      <c r="G16" s="9"/>
      <c r="H16" s="404"/>
      <c r="I16" s="406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27.75" customHeight="1">
      <c r="A17" s="141">
        <v>3</v>
      </c>
      <c r="B17" s="174" t="e">
        <f>#REF!</f>
        <v>#REF!</v>
      </c>
      <c r="C17" s="175" t="e">
        <f>HLOOKUP($A$1,RefEvAns,ROW(QuesTitleRow)+VLOOKUP(SctNm01,SecWeight,3,0)+$A17,0)</f>
        <v>#REF!</v>
      </c>
      <c r="D17" s="176"/>
      <c r="E17" s="177" t="e">
        <f>#REF!</f>
        <v>#REF!</v>
      </c>
      <c r="F17" s="178" t="e">
        <f>HLOOKUP($A$1,RefEvAns,ROW(QuesTitleRow)+VLOOKUP(SctNm03,SecWeight,3,0)+$A17,0)</f>
        <v>#REF!</v>
      </c>
      <c r="G17" s="9"/>
      <c r="H17" s="433" t="e">
        <f>Sec02Tag</f>
        <v>#NAME?</v>
      </c>
      <c r="I17" s="403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27.75" customHeight="1">
      <c r="A18" s="141">
        <v>4</v>
      </c>
      <c r="B18" s="174" t="e">
        <f>#REF!</f>
        <v>#REF!</v>
      </c>
      <c r="C18" s="175" t="e">
        <f>HLOOKUP($A$1,RefEvAns,ROW(QuesTitleRow)+VLOOKUP(SctNm01,SecWeight,3,0)+$A18,0)</f>
        <v>#REF!</v>
      </c>
      <c r="D18" s="176"/>
      <c r="E18" s="177" t="e">
        <f>#REF!</f>
        <v>#REF!</v>
      </c>
      <c r="F18" s="178" t="e">
        <f>HLOOKUP($A$1,RefEvAns,ROW(QuesTitleRow)+VLOOKUP(SctNm03,SecWeight,3,0)+$A18,0)</f>
        <v>#REF!</v>
      </c>
      <c r="G18" s="9"/>
      <c r="H18" s="422" t="e">
        <f>IF(HLOOKUP($A$1,RefEvAns,ROW(Sct02Comts),0)=0,"No Comments",HLOOKUP($A$1,RefEvAns,ROW(Sct02Comts),0))</f>
        <v>#REF!</v>
      </c>
      <c r="I18" s="400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27.75" customHeight="1">
      <c r="A19" s="141">
        <v>5</v>
      </c>
      <c r="B19" s="174" t="e">
        <f>#REF!</f>
        <v>#REF!</v>
      </c>
      <c r="C19" s="175" t="e">
        <f>HLOOKUP($A$1,RefEvAns,ROW(QuesTitleRow)+VLOOKUP(SctNm01,SecWeight,3,0)+$A19,0)</f>
        <v>#REF!</v>
      </c>
      <c r="D19" s="176"/>
      <c r="E19" s="177" t="s">
        <v>49</v>
      </c>
      <c r="F19" s="178" t="e">
        <f>HLOOKUP($A$1,RefEvAns,ROW(QuesTitleRow)+VLOOKUP(SctNm03,SecWeight,3,0)+$A19,0)</f>
        <v>#REF!</v>
      </c>
      <c r="G19" s="9"/>
      <c r="H19" s="401"/>
      <c r="I19" s="403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27.75" customHeight="1">
      <c r="A20" s="141">
        <v>6</v>
      </c>
      <c r="B20" s="179"/>
      <c r="C20" s="175"/>
      <c r="D20" s="176"/>
      <c r="E20" s="177" t="s">
        <v>49</v>
      </c>
      <c r="F20" s="178" t="e">
        <f>HLOOKUP($A$1,RefEvAns,ROW(QuesTitleRow)+VLOOKUP(SctNm03,SecWeight,3,0)+$A20,0)</f>
        <v>#REF!</v>
      </c>
      <c r="G20" s="9"/>
      <c r="H20" s="404"/>
      <c r="I20" s="406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27.75" customHeight="1">
      <c r="A21" s="141">
        <v>7</v>
      </c>
      <c r="B21" s="180"/>
      <c r="C21" s="181"/>
      <c r="D21" s="176"/>
      <c r="E21" s="182" t="s">
        <v>49</v>
      </c>
      <c r="F21" s="183" t="e">
        <f>HLOOKUP($A$1,RefEvAns,ROW(QuesTitleRow)+VLOOKUP(SctNm03,SecWeight,3,0)+$A21,0)</f>
        <v>#REF!</v>
      </c>
      <c r="G21" s="9"/>
      <c r="H21" s="434" t="e">
        <f>Sec03Tag</f>
        <v>#NAME?</v>
      </c>
      <c r="I21" s="403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27.75" customHeight="1">
      <c r="A22" s="141"/>
      <c r="B22" s="184"/>
      <c r="C22" s="185"/>
      <c r="D22" s="186"/>
      <c r="E22" s="184"/>
      <c r="F22" s="185"/>
      <c r="G22" s="9"/>
      <c r="H22" s="422" t="e">
        <f>IF(HLOOKUP($A$1,RefEvAns,ROW(Sct03Comts),0)=0,"No Comments",HLOOKUP($A$1,RefEvAns,ROW(Sct03Comts),0))</f>
        <v>#REF!</v>
      </c>
      <c r="I22" s="400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27.75" customHeight="1">
      <c r="A23" s="141"/>
      <c r="B23" s="187"/>
      <c r="C23" s="188"/>
      <c r="D23" s="186"/>
      <c r="E23" s="189"/>
      <c r="F23" s="188"/>
      <c r="G23" s="9"/>
      <c r="H23" s="404"/>
      <c r="I23" s="406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27.75" customHeight="1">
      <c r="A24" s="141"/>
      <c r="B24" s="190" t="e">
        <f>Sec02Tag</f>
        <v>#NAME?</v>
      </c>
      <c r="C24" s="191" t="e">
        <f>HLOOKUP($A$1,RefEvAns,ROW(Sct02Score),0)</f>
        <v>#REF!</v>
      </c>
      <c r="D24" s="192"/>
      <c r="E24" s="193" t="e">
        <f>Sec04Tag</f>
        <v>#NAME?</v>
      </c>
      <c r="F24" s="194" t="e">
        <f>HLOOKUP($A$1,RefEvAns,ROW(Sct04Score),0)</f>
        <v>#REF!</v>
      </c>
      <c r="G24" s="9"/>
      <c r="H24" s="430" t="e">
        <f>Sec04Tag</f>
        <v>#NAME?</v>
      </c>
      <c r="I24" s="403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27.75" customHeight="1">
      <c r="A25" s="195"/>
      <c r="B25" s="196" t="s">
        <v>47</v>
      </c>
      <c r="C25" s="197" t="s">
        <v>48</v>
      </c>
      <c r="D25" s="176"/>
      <c r="E25" s="198" t="s">
        <v>47</v>
      </c>
      <c r="F25" s="199" t="s">
        <v>48</v>
      </c>
      <c r="G25" s="9"/>
      <c r="H25" s="422" t="e">
        <f>IF(HLOOKUP($A$1,RefEvAns,ROW(Sct04Comts),0)=0,"",HLOOKUP($A$1,RefEvAns,ROW(Sct04Comts),0))</f>
        <v>#REF!</v>
      </c>
      <c r="I25" s="400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27.75" customHeight="1">
      <c r="A26" s="141">
        <v>1</v>
      </c>
      <c r="B26" s="200" t="e">
        <f>#REF!</f>
        <v>#REF!</v>
      </c>
      <c r="C26" s="201" t="e">
        <f>HLOOKUP($A$1,RefEvAns,ROW(QuesTitleRow)+VLOOKUP(SctNm02,SecWeight,3,0)+$A26,0)</f>
        <v>#REF!</v>
      </c>
      <c r="D26" s="176"/>
      <c r="E26" s="202" t="s">
        <v>49</v>
      </c>
      <c r="F26" s="203" t="e">
        <f>IF(E26="","",HLOOKUP($A$1,RefEvAns,ROW(QuesTitleRow)+VLOOKUP(SctNm04,SecWeight,3,0)+$A26,0))</f>
        <v>#REF!</v>
      </c>
      <c r="G26" s="9"/>
      <c r="H26" s="404"/>
      <c r="I26" s="406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7.75" customHeight="1">
      <c r="A27" s="141">
        <v>2</v>
      </c>
      <c r="B27" s="200" t="e">
        <f>#REF!</f>
        <v>#REF!</v>
      </c>
      <c r="C27" s="201" t="e">
        <f>HLOOKUP($A$1,RefEvAns,ROW(QuesTitleRow)+VLOOKUP(SctNm02,SecWeight,3,0)+$A27,0)</f>
        <v>#REF!</v>
      </c>
      <c r="D27" s="176"/>
      <c r="E27" s="202" t="s">
        <v>49</v>
      </c>
      <c r="F27" s="203" t="e">
        <f>IF(E27="","",HLOOKUP($A$1,RefEvAns,ROW(QuesTitleRow)+VLOOKUP(SctNm04,SecWeight,3,0)+$A27,0))</f>
        <v>#REF!</v>
      </c>
      <c r="G27" s="9"/>
      <c r="H27" s="431" t="e">
        <f>FETag</f>
        <v>#REF!</v>
      </c>
      <c r="I27" s="403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7.75" customHeight="1">
      <c r="A28" s="141">
        <v>3</v>
      </c>
      <c r="B28" s="200" t="e">
        <f>#REF!</f>
        <v>#REF!</v>
      </c>
      <c r="C28" s="201" t="e">
        <f>HLOOKUP($A$1,RefEvAns,ROW(QuesTitleRow)+VLOOKUP(SctNm02,SecWeight,3,0)+$A28,0)</f>
        <v>#REF!</v>
      </c>
      <c r="D28" s="176"/>
      <c r="E28" s="202" t="e">
        <f>IF(#REF!=0,"",#REF!)</f>
        <v>#REF!</v>
      </c>
      <c r="F28" s="203" t="e">
        <f>IF(E28="","",HLOOKUP($A$1,RefEvAns,ROW(QuesTitleRow)+VLOOKUP(SctNm04,SecWeight,3,0)+$A28,0))</f>
        <v>#REF!</v>
      </c>
      <c r="G28" s="9"/>
      <c r="H28" s="422" t="e">
        <f>IF(HLOOKUP($A$1,RefEvAns,ROW(FEComts),0)=0,"",HLOOKUP($A$1,RefEvAns,ROW(FEComts),0))</f>
        <v>#REF!</v>
      </c>
      <c r="I28" s="400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7.75" customHeight="1">
      <c r="A29" s="141">
        <v>4</v>
      </c>
      <c r="B29" s="200" t="s">
        <v>49</v>
      </c>
      <c r="C29" s="201" t="e">
        <f>HLOOKUP($A$1,RefEvAns,ROW(QuesTitleRow)+VLOOKUP(SctNm02,SecWeight,3,0)+$A29,0)</f>
        <v>#REF!</v>
      </c>
      <c r="D29" s="176"/>
      <c r="E29" s="202" t="e">
        <f>IF(#REF!=0,"",#REF!)</f>
        <v>#REF!</v>
      </c>
      <c r="F29" s="203" t="e">
        <f>IF(E29="","",HLOOKUP($A$1,RefEvAns,ROW(QuesTitleRow)+VLOOKUP(SctNm04,SecWeight,3,0)+$A29,0))</f>
        <v>#REF!</v>
      </c>
      <c r="G29" s="9"/>
      <c r="H29" s="404"/>
      <c r="I29" s="406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7.75" customHeight="1">
      <c r="A30" s="141">
        <v>5</v>
      </c>
      <c r="B30" s="200" t="e">
        <f>#REF!</f>
        <v>#REF!</v>
      </c>
      <c r="C30" s="201" t="e">
        <f>HLOOKUP($A$1,RefEvAns,ROW(QuesTitleRow)+VLOOKUP(SctNm02,SecWeight,3,0)+$A30,0)</f>
        <v>#REF!</v>
      </c>
      <c r="D30" s="176"/>
      <c r="E30" s="202" t="s">
        <v>49</v>
      </c>
      <c r="F30" s="203" t="e">
        <f>IF(E30="","",HLOOKUP($A$1,RefEvAns,ROW(QuesTitleRow)+VLOOKUP(SctNm04,SecWeight,3,0)+$A30,0))</f>
        <v>#REF!</v>
      </c>
      <c r="G30" s="9"/>
      <c r="H30" s="432" t="s">
        <v>50</v>
      </c>
      <c r="I30" s="403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27.75" customHeight="1">
      <c r="A31" s="141">
        <v>6</v>
      </c>
      <c r="B31" s="204"/>
      <c r="C31" s="201"/>
      <c r="D31" s="176"/>
      <c r="E31" s="202" t="s">
        <v>49</v>
      </c>
      <c r="F31" s="203" t="e">
        <f>IF(E31="","",HLOOKUP($A$1,RefEvAns,ROW(QuesTitleRow)+VLOOKUP(SctNm04,SecWeight,3,0)+$A31,0))</f>
        <v>#REF!</v>
      </c>
      <c r="G31" s="9"/>
      <c r="H31" s="422" t="e">
        <f>IF(HLOOKUP($A$1,RefEvAns,ROW(GenComm),0)=0,"No Comments",HLOOKUP($A$1,RefEvAns,ROW(GenComm),0))</f>
        <v>#REF!</v>
      </c>
      <c r="I31" s="400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7.75" customHeight="1">
      <c r="A32" s="141">
        <v>7</v>
      </c>
      <c r="B32" s="200"/>
      <c r="C32" s="201"/>
      <c r="D32" s="176"/>
      <c r="E32" s="202" t="s">
        <v>49</v>
      </c>
      <c r="F32" s="203" t="e">
        <f>IF(E32="","",HLOOKUP($A$1,RefEvAns,ROW(QuesTitleRow)+VLOOKUP(SctNm04,SecWeight,3,0)+$A32,0))</f>
        <v>#REF!</v>
      </c>
      <c r="G32" s="9"/>
      <c r="H32" s="401"/>
      <c r="I32" s="403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27.75" customHeight="1">
      <c r="A33" s="141">
        <v>8</v>
      </c>
      <c r="B33" s="200"/>
      <c r="C33" s="201"/>
      <c r="D33" s="176"/>
      <c r="E33" s="202" t="s">
        <v>49</v>
      </c>
      <c r="F33" s="203" t="e">
        <f>IF(E33="","",HLOOKUP($A$1,RefEvAns,ROW(QuesTitleRow)+VLOOKUP(SctNm04,SecWeight,3,0)+$A33,0))</f>
        <v>#REF!</v>
      </c>
      <c r="G33" s="9"/>
      <c r="H33" s="401"/>
      <c r="I33" s="403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27.75" customHeight="1">
      <c r="A34" s="141">
        <v>9</v>
      </c>
      <c r="B34" s="200"/>
      <c r="C34" s="201"/>
      <c r="D34" s="176"/>
      <c r="E34" s="202" t="s">
        <v>49</v>
      </c>
      <c r="F34" s="203" t="e">
        <f>IF(E34="","",HLOOKUP($A$1,RefEvAns,ROW(QuesTitleRow)+VLOOKUP(SctNm04,SecWeight,3,0)+$A34,0))</f>
        <v>#REF!</v>
      </c>
      <c r="G34" s="9"/>
      <c r="H34" s="401"/>
      <c r="I34" s="403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27.75" customHeight="1">
      <c r="A35" s="141">
        <v>10</v>
      </c>
      <c r="B35" s="205"/>
      <c r="C35" s="206"/>
      <c r="D35" s="176"/>
      <c r="E35" s="207" t="s">
        <v>49</v>
      </c>
      <c r="F35" s="208" t="e">
        <f>IF(E35="","",HLOOKUP($A$1,RefEvAns,ROW(QuesTitleRow)+VLOOKUP(SctNm04,SecWeight,3,0)+$A35,0))</f>
        <v>#REF!</v>
      </c>
      <c r="G35" s="9"/>
      <c r="H35" s="404"/>
      <c r="I35" s="406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2.75" customHeight="1">
      <c r="A36" s="141"/>
      <c r="B36" s="209"/>
      <c r="C36" s="5"/>
      <c r="D36" s="9"/>
      <c r="E36" s="209"/>
      <c r="F36" s="5"/>
      <c r="G36" s="9"/>
      <c r="H36" s="210"/>
      <c r="I36" s="210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2.75" customHeight="1">
      <c r="A37" s="141"/>
      <c r="B37" s="209"/>
      <c r="C37" s="5"/>
      <c r="D37" s="9"/>
      <c r="E37" s="209"/>
      <c r="F37" s="5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2.75" customHeight="1">
      <c r="A38" s="141"/>
      <c r="B38" s="209"/>
      <c r="C38" s="5"/>
      <c r="D38" s="9"/>
      <c r="E38" s="209"/>
      <c r="F38" s="5"/>
      <c r="G38" s="9"/>
      <c r="H38" s="186"/>
      <c r="I38" s="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2.75" customHeight="1">
      <c r="A39" s="141"/>
      <c r="B39" s="209"/>
      <c r="C39" s="5"/>
      <c r="D39" s="9"/>
      <c r="E39" s="209"/>
      <c r="F39" s="5"/>
      <c r="G39" s="9"/>
      <c r="H39" s="186"/>
      <c r="I39" s="5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2.75" customHeight="1">
      <c r="A40" s="141"/>
      <c r="B40" s="209"/>
      <c r="C40" s="5"/>
      <c r="D40" s="9"/>
      <c r="E40" s="209"/>
      <c r="F40" s="5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2.75" customHeight="1">
      <c r="A41" s="141"/>
      <c r="B41" s="209"/>
      <c r="C41" s="5"/>
      <c r="D41" s="9"/>
      <c r="E41" s="209"/>
      <c r="F41" s="5"/>
      <c r="G41" s="9"/>
      <c r="H41" s="186"/>
      <c r="I41" s="5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2.75" customHeight="1">
      <c r="A42" s="141"/>
      <c r="B42" s="209"/>
      <c r="C42" s="5"/>
      <c r="D42" s="9"/>
      <c r="E42" s="209"/>
      <c r="F42" s="5"/>
      <c r="G42" s="9"/>
      <c r="H42" s="186"/>
      <c r="I42" s="5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2.75" customHeight="1">
      <c r="A43" s="141"/>
      <c r="B43" s="209"/>
      <c r="C43" s="5"/>
      <c r="D43" s="9"/>
      <c r="E43" s="209"/>
      <c r="F43" s="5"/>
      <c r="G43" s="9"/>
      <c r="H43" s="186"/>
      <c r="I43" s="5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2.75" customHeight="1">
      <c r="A44" s="141"/>
      <c r="B44" s="209"/>
      <c r="C44" s="5"/>
      <c r="D44" s="9"/>
      <c r="E44" s="209"/>
      <c r="F44" s="5"/>
      <c r="G44" s="9"/>
      <c r="H44" s="186"/>
      <c r="I44" s="5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2.75" customHeight="1">
      <c r="A45" s="141"/>
      <c r="B45" s="209"/>
      <c r="C45" s="5"/>
      <c r="D45" s="9"/>
      <c r="E45" s="209"/>
      <c r="F45" s="5"/>
      <c r="G45" s="9"/>
      <c r="H45" s="186"/>
      <c r="I45" s="5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2.75" customHeight="1">
      <c r="A46" s="141"/>
      <c r="B46" s="209"/>
      <c r="C46" s="5"/>
      <c r="D46" s="9"/>
      <c r="E46" s="209"/>
      <c r="F46" s="5"/>
      <c r="G46" s="9"/>
      <c r="H46" s="186"/>
      <c r="I46" s="5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2.75" customHeight="1">
      <c r="A47" s="141"/>
      <c r="B47" s="209"/>
      <c r="C47" s="5"/>
      <c r="D47" s="9"/>
      <c r="E47" s="209"/>
      <c r="F47" s="5"/>
      <c r="G47" s="9"/>
      <c r="H47" s="186"/>
      <c r="I47" s="5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67.5" customHeight="1">
      <c r="A48" s="141"/>
      <c r="B48" s="211"/>
      <c r="C48" s="209"/>
      <c r="D48" s="9"/>
      <c r="E48" s="211"/>
      <c r="F48" s="9"/>
      <c r="G48" s="9"/>
      <c r="H48" s="186"/>
      <c r="I48" s="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2.75" customHeight="1">
      <c r="A49" s="141"/>
      <c r="B49" s="9"/>
      <c r="C49" s="9"/>
      <c r="D49" s="9"/>
      <c r="E49" s="9"/>
      <c r="F49" s="9"/>
      <c r="G49" s="9"/>
      <c r="H49" s="186"/>
      <c r="I49" s="5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2.75" customHeight="1">
      <c r="A50" s="141"/>
      <c r="B50" s="209"/>
      <c r="C50" s="209"/>
      <c r="D50" s="9"/>
      <c r="E50" s="31"/>
      <c r="F50" s="9"/>
      <c r="G50" s="9"/>
      <c r="H50" s="7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40.5" customHeight="1">
      <c r="A51" s="141"/>
      <c r="B51" s="212"/>
      <c r="C51" s="20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2.75" customHeight="1">
      <c r="A52" s="14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2.75" customHeight="1">
      <c r="A53" s="141"/>
      <c r="B53" s="209"/>
      <c r="C53" s="20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9" customHeight="1">
      <c r="A54" s="141"/>
      <c r="B54" s="212"/>
      <c r="C54" s="20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2.75" customHeight="1">
      <c r="A55" s="14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2.75" customHeight="1">
      <c r="A56" s="141"/>
      <c r="B56" s="209"/>
      <c r="C56" s="209"/>
      <c r="D56" s="9"/>
      <c r="E56" s="31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2.75" customHeight="1">
      <c r="A57" s="9"/>
      <c r="B57" s="209"/>
      <c r="C57" s="20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2.75" customHeight="1">
      <c r="A58" s="9"/>
      <c r="B58" s="209"/>
      <c r="C58" s="20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2.75" customHeight="1">
      <c r="A59" s="9"/>
      <c r="B59" s="209"/>
      <c r="C59" s="20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2.75" customHeight="1">
      <c r="A60" s="9"/>
      <c r="B60" s="209"/>
      <c r="C60" s="20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2.75" customHeight="1">
      <c r="A61" s="9"/>
      <c r="B61" s="209"/>
      <c r="C61" s="209"/>
      <c r="D61" s="9"/>
      <c r="E61" s="31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2.75" customHeight="1">
      <c r="A62" s="9"/>
      <c r="B62" s="209"/>
      <c r="C62" s="20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2.75" customHeight="1">
      <c r="A63" s="9"/>
      <c r="B63" s="209"/>
      <c r="C63" s="20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2.75" customHeight="1">
      <c r="A64" s="9"/>
      <c r="B64" s="20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2.75" customHeight="1">
      <c r="A65" s="9"/>
      <c r="B65" s="209"/>
      <c r="C65" s="20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2.75" customHeight="1">
      <c r="A66" s="9"/>
      <c r="B66" s="20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2.75" customHeight="1">
      <c r="A67" s="9"/>
      <c r="B67" s="209"/>
      <c r="C67" s="20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2.75" customHeight="1">
      <c r="A68" s="9"/>
      <c r="B68" s="20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2.75" customHeight="1">
      <c r="A69" s="9"/>
      <c r="B69" s="20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2.75" customHeight="1">
      <c r="A70" s="9"/>
      <c r="B70" s="20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2.75" customHeight="1">
      <c r="A71" s="9"/>
      <c r="B71" s="20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2.75" customHeight="1">
      <c r="A72" s="9"/>
      <c r="B72" s="20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2.75" customHeight="1">
      <c r="A73" s="9"/>
      <c r="B73" s="20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2.75" customHeight="1">
      <c r="A74" s="9"/>
      <c r="B74" s="20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2.75" customHeight="1">
      <c r="A75" s="9"/>
      <c r="B75" s="20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2.75" customHeight="1">
      <c r="A76" s="9"/>
      <c r="B76" s="20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2.75" customHeight="1">
      <c r="A77" s="9"/>
      <c r="B77" s="20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2.75" customHeight="1">
      <c r="A78" s="9"/>
      <c r="B78" s="20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2.75" customHeight="1">
      <c r="A79" s="9"/>
      <c r="B79" s="20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2.75" customHeight="1">
      <c r="A80" s="9"/>
      <c r="B80" s="20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2.75" customHeight="1">
      <c r="A81" s="9"/>
      <c r="B81" s="20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2.75" customHeight="1">
      <c r="A82" s="9"/>
      <c r="B82" s="20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2.7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2.7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2.7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2.7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2.7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2.7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2.7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2.7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2.7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2.7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2.7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2.7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2.7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2.7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2.7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2.7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2.7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2.7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2.7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2.7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2.7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2.7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2.7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2.7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2.7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2.7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2.7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2.7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2.7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2.7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2.7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2.7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2.7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2.7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2.7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2.7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2.7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2.7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2.7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2.7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2.7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2.7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2.7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2.7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2.7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2.7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2.7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2.7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2.7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2.7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2.7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2.7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2.7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2.7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2.7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2.7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2.7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2.7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2.7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2.7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2.7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2.7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2.7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2.7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2.7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2.7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2.7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2.7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2.7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2.7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2.7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2.7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2.7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2.7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2.7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2.7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2.7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2.7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2.7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2.7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2.7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2.7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2.7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2.7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2.7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2.7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2.7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2.7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2.7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2.7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2.7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2.7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2.7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2.7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2.7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2.7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2.7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2.7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2.7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2.7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2.7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2.7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2.7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2.7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2.7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2.7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2.7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2.7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2.7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2.7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2.7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2.7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2.7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2.7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2.7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2.7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2.7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2.7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2.7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2.7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2.7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2.7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2.7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2.7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2.7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2.7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2.7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2.7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2.7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2.7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2.7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2.7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2.7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2.7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2.7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2.7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2.7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2.7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2.7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2.7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2.7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2.7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2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2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2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2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2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2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2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2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2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2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2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>
      <c r="A236" s="309"/>
      <c r="B236" s="309"/>
      <c r="C236" s="309"/>
      <c r="D236" s="309"/>
      <c r="E236" s="309"/>
      <c r="F236" s="309"/>
      <c r="G236" s="309"/>
      <c r="H236" s="309"/>
      <c r="I236" s="309"/>
      <c r="J236" s="309"/>
      <c r="K236" s="309"/>
      <c r="L236" s="309"/>
      <c r="M236" s="309"/>
      <c r="N236" s="309"/>
      <c r="O236" s="309"/>
      <c r="P236" s="309"/>
      <c r="Q236" s="309"/>
      <c r="R236" s="309"/>
      <c r="S236" s="309"/>
      <c r="T236" s="309"/>
      <c r="U236" s="309"/>
      <c r="V236" s="309"/>
      <c r="W236" s="309"/>
      <c r="X236" s="309"/>
      <c r="Y236" s="309"/>
      <c r="Z236" s="309"/>
    </row>
    <row r="237" spans="1:26" ht="15.75" customHeight="1">
      <c r="A237" s="309"/>
      <c r="B237" s="309"/>
      <c r="C237" s="309"/>
      <c r="D237" s="309"/>
      <c r="E237" s="309"/>
      <c r="F237" s="309"/>
      <c r="G237" s="309"/>
      <c r="H237" s="309"/>
      <c r="I237" s="309"/>
      <c r="J237" s="309"/>
      <c r="K237" s="309"/>
      <c r="L237" s="309"/>
      <c r="M237" s="309"/>
      <c r="N237" s="309"/>
      <c r="O237" s="309"/>
      <c r="P237" s="309"/>
      <c r="Q237" s="309"/>
      <c r="R237" s="309"/>
      <c r="S237" s="309"/>
      <c r="T237" s="309"/>
      <c r="U237" s="309"/>
      <c r="V237" s="309"/>
      <c r="W237" s="309"/>
      <c r="X237" s="309"/>
      <c r="Y237" s="309"/>
      <c r="Z237" s="309"/>
    </row>
    <row r="238" spans="1:26" ht="15.75" customHeight="1">
      <c r="A238" s="309"/>
      <c r="B238" s="309"/>
      <c r="C238" s="309"/>
      <c r="D238" s="309"/>
      <c r="E238" s="309"/>
      <c r="F238" s="309"/>
      <c r="G238" s="309"/>
      <c r="H238" s="309"/>
      <c r="I238" s="309"/>
      <c r="J238" s="309"/>
      <c r="K238" s="309"/>
      <c r="L238" s="309"/>
      <c r="M238" s="309"/>
      <c r="N238" s="309"/>
      <c r="O238" s="309"/>
      <c r="P238" s="309"/>
      <c r="Q238" s="309"/>
      <c r="R238" s="309"/>
      <c r="S238" s="309"/>
      <c r="T238" s="309"/>
      <c r="U238" s="309"/>
      <c r="V238" s="309"/>
      <c r="W238" s="309"/>
      <c r="X238" s="309"/>
      <c r="Y238" s="309"/>
      <c r="Z238" s="309"/>
    </row>
    <row r="239" spans="1:26" ht="15.75" customHeight="1">
      <c r="A239" s="309"/>
      <c r="B239" s="309"/>
      <c r="C239" s="309"/>
      <c r="D239" s="309"/>
      <c r="E239" s="309"/>
      <c r="F239" s="309"/>
      <c r="G239" s="309"/>
      <c r="H239" s="309"/>
      <c r="I239" s="309"/>
      <c r="J239" s="309"/>
      <c r="K239" s="309"/>
      <c r="L239" s="309"/>
      <c r="M239" s="309"/>
      <c r="N239" s="309"/>
      <c r="O239" s="309"/>
      <c r="P239" s="309"/>
      <c r="Q239" s="309"/>
      <c r="R239" s="309"/>
      <c r="S239" s="309"/>
      <c r="T239" s="309"/>
      <c r="U239" s="309"/>
      <c r="V239" s="309"/>
      <c r="W239" s="309"/>
      <c r="X239" s="309"/>
      <c r="Y239" s="309"/>
      <c r="Z239" s="309"/>
    </row>
    <row r="240" spans="1:26" ht="15.75" customHeight="1">
      <c r="A240" s="309"/>
      <c r="B240" s="309"/>
      <c r="C240" s="309"/>
      <c r="D240" s="309"/>
      <c r="E240" s="309"/>
      <c r="F240" s="309"/>
      <c r="G240" s="309"/>
      <c r="H240" s="309"/>
      <c r="I240" s="309"/>
      <c r="J240" s="309"/>
      <c r="K240" s="309"/>
      <c r="L240" s="309"/>
      <c r="M240" s="309"/>
      <c r="N240" s="309"/>
      <c r="O240" s="309"/>
      <c r="P240" s="309"/>
      <c r="Q240" s="309"/>
      <c r="R240" s="309"/>
      <c r="S240" s="309"/>
      <c r="T240" s="309"/>
      <c r="U240" s="309"/>
      <c r="V240" s="309"/>
      <c r="W240" s="309"/>
      <c r="X240" s="309"/>
      <c r="Y240" s="309"/>
      <c r="Z240" s="309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H31:I35"/>
    <mergeCell ref="H28:I29"/>
    <mergeCell ref="H25:I26"/>
    <mergeCell ref="H14:I16"/>
    <mergeCell ref="H24:I24"/>
    <mergeCell ref="H27:I27"/>
    <mergeCell ref="H30:I30"/>
    <mergeCell ref="H17:I17"/>
    <mergeCell ref="H21:I21"/>
    <mergeCell ref="E1:H2"/>
    <mergeCell ref="B6:C8"/>
    <mergeCell ref="H22:I23"/>
    <mergeCell ref="H18:I20"/>
    <mergeCell ref="H9:H11"/>
    <mergeCell ref="I9:I11"/>
    <mergeCell ref="B4:C4"/>
    <mergeCell ref="B5:C5"/>
    <mergeCell ref="H13:I13"/>
  </mergeCells>
  <dataValidations count="1">
    <dataValidation type="list" allowBlank="1" showInputMessage="1" showErrorMessage="1" prompt="Select Evaluation #" sqref="A1" xr:uid="{00000000-0002-0000-0D00-000000000000}">
      <formula1>Evals</formula1>
    </dataValidation>
  </dataValidations>
  <pageMargins left="0.27916666666666701" right="0.21875" top="0.6" bottom="0.71875" header="0" footer="0"/>
  <pageSetup scale="58" orientation="landscape"/>
  <headerFooter>
    <oddFooter>&amp;RPrinted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V1000"/>
  <sheetViews>
    <sheetView workbookViewId="0">
      <pane xSplit="3" ySplit="12" topLeftCell="D13" activePane="bottomRight" state="frozen"/>
      <selection pane="topRight"/>
      <selection pane="bottomLeft"/>
      <selection pane="bottomRight" activeCell="D13" sqref="D13"/>
    </sheetView>
  </sheetViews>
  <sheetFormatPr defaultColWidth="14.44140625" defaultRowHeight="15" customHeight="1"/>
  <cols>
    <col min="1" max="1" width="4.5546875" customWidth="1"/>
    <col min="2" max="2" width="11.109375" customWidth="1"/>
    <col min="3" max="3" width="57.6640625" customWidth="1"/>
    <col min="4" max="4" width="32.33203125" customWidth="1"/>
    <col min="5" max="7" width="8.44140625" customWidth="1"/>
    <col min="8" max="8" width="13.33203125" hidden="1" customWidth="1"/>
    <col min="9" max="10" width="9.109375" customWidth="1"/>
    <col min="11" max="11" width="10.6640625" customWidth="1"/>
    <col min="12" max="12" width="14.33203125" customWidth="1"/>
    <col min="13" max="13" width="9.109375" customWidth="1"/>
    <col min="14" max="14" width="9.6640625" customWidth="1"/>
    <col min="15" max="15" width="9.109375" hidden="1" customWidth="1"/>
    <col min="16" max="22" width="9.109375" customWidth="1"/>
  </cols>
  <sheetData>
    <row r="1" spans="1:22" ht="13.5" customHeight="1">
      <c r="A1" s="435" t="s">
        <v>51</v>
      </c>
      <c r="B1" s="436"/>
      <c r="C1" s="95" t="s">
        <v>52</v>
      </c>
      <c r="D1" s="309"/>
      <c r="E1" s="309"/>
      <c r="F1" s="439" t="s">
        <v>53</v>
      </c>
      <c r="G1" s="436"/>
      <c r="H1" s="309"/>
      <c r="I1" s="309"/>
      <c r="J1" s="309"/>
      <c r="K1" s="30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13.5" customHeight="1">
      <c r="A2" s="435" t="s">
        <v>54</v>
      </c>
      <c r="B2" s="436"/>
      <c r="C2" s="95" t="s">
        <v>55</v>
      </c>
      <c r="D2" s="309"/>
      <c r="E2" s="309"/>
      <c r="F2" s="436"/>
      <c r="G2" s="436"/>
      <c r="H2" s="309"/>
      <c r="I2" s="309"/>
      <c r="J2" s="309"/>
      <c r="K2" s="30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2.75" customHeight="1">
      <c r="A3" s="309"/>
      <c r="B3" s="309"/>
      <c r="C3" s="96" t="s">
        <v>56</v>
      </c>
      <c r="D3" s="97" t="s">
        <v>57</v>
      </c>
      <c r="E3" s="309"/>
      <c r="F3" s="440" t="str">
        <f>FormType</f>
        <v>Online</v>
      </c>
      <c r="G3" s="436"/>
      <c r="H3" s="309"/>
      <c r="I3" s="309"/>
      <c r="J3" s="309"/>
      <c r="K3" s="30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12.75" customHeight="1">
      <c r="A4" s="309"/>
      <c r="B4" s="309"/>
      <c r="C4" s="6" t="s">
        <v>58</v>
      </c>
      <c r="D4" s="2">
        <f>IF(FormType="Online",20,30)</f>
        <v>20</v>
      </c>
      <c r="E4" s="309"/>
      <c r="F4" s="436"/>
      <c r="G4" s="436"/>
      <c r="H4" s="309"/>
      <c r="I4" s="309"/>
      <c r="J4" s="309"/>
      <c r="K4" s="30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12.75" customHeight="1">
      <c r="A5" s="309"/>
      <c r="B5" s="309"/>
      <c r="C5" s="6" t="s">
        <v>59</v>
      </c>
      <c r="D5" s="2">
        <v>10</v>
      </c>
      <c r="E5" s="309"/>
      <c r="F5" s="30"/>
      <c r="G5" s="30"/>
      <c r="H5" s="309"/>
      <c r="I5" s="309"/>
      <c r="J5" s="309"/>
      <c r="K5" s="30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12.75" customHeight="1">
      <c r="A6" s="309"/>
      <c r="B6" s="309"/>
      <c r="C6" s="6" t="s">
        <v>60</v>
      </c>
      <c r="D6" s="2">
        <v>6</v>
      </c>
      <c r="E6" s="309"/>
      <c r="F6" s="309"/>
      <c r="G6" s="309"/>
      <c r="H6" s="309"/>
      <c r="I6" s="309"/>
      <c r="J6" s="309"/>
      <c r="K6" s="30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12.75" customHeight="1">
      <c r="A7" s="309"/>
      <c r="B7" s="309"/>
      <c r="C7" s="6" t="s">
        <v>61</v>
      </c>
      <c r="D7" s="2">
        <v>2</v>
      </c>
      <c r="E7" s="309"/>
      <c r="F7" s="309"/>
      <c r="G7" s="309"/>
      <c r="H7" s="309"/>
      <c r="I7" s="309"/>
      <c r="J7" s="309"/>
      <c r="K7" s="30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12.75" customHeight="1">
      <c r="A8" s="309"/>
      <c r="B8" s="309"/>
      <c r="C8" s="6" t="s">
        <v>62</v>
      </c>
      <c r="D8" s="2">
        <v>0</v>
      </c>
      <c r="E8" s="309"/>
      <c r="F8" s="309"/>
      <c r="G8" s="309"/>
      <c r="H8" s="309"/>
      <c r="I8" s="309"/>
      <c r="J8" s="309"/>
      <c r="K8" s="309"/>
      <c r="L8" s="437" t="s">
        <v>63</v>
      </c>
      <c r="M8" s="438"/>
      <c r="N8" s="412"/>
      <c r="O8" s="9"/>
      <c r="P8" s="9"/>
      <c r="Q8" s="9"/>
      <c r="R8" s="9"/>
      <c r="S8" s="9"/>
      <c r="T8" s="9"/>
      <c r="U8" s="9"/>
      <c r="V8" s="9"/>
    </row>
    <row r="9" spans="1:22" ht="12.75" customHeight="1">
      <c r="A9" s="309"/>
      <c r="B9" s="309"/>
      <c r="C9" s="6" t="s">
        <v>64</v>
      </c>
      <c r="D9" s="2">
        <v>0</v>
      </c>
      <c r="E9" s="309"/>
      <c r="F9" s="309"/>
      <c r="G9" s="309"/>
      <c r="H9" s="309"/>
      <c r="I9" s="309"/>
      <c r="J9" s="309"/>
      <c r="K9" s="309"/>
      <c r="L9" s="117" t="s">
        <v>42</v>
      </c>
      <c r="M9" s="118" t="s">
        <v>65</v>
      </c>
      <c r="N9" s="119" t="s">
        <v>66</v>
      </c>
      <c r="O9" s="9"/>
      <c r="P9" s="9"/>
      <c r="Q9" s="9"/>
      <c r="R9" s="9"/>
      <c r="S9" s="9"/>
      <c r="T9" s="9"/>
      <c r="U9" s="9"/>
      <c r="V9" s="9"/>
    </row>
    <row r="10" spans="1:22" ht="12.75" customHeight="1">
      <c r="A10" s="309"/>
      <c r="B10" s="309"/>
      <c r="C10" s="6" t="s">
        <v>67</v>
      </c>
      <c r="D10" s="2">
        <v>4.5</v>
      </c>
      <c r="E10" s="309"/>
      <c r="F10" s="309"/>
      <c r="G10" s="309"/>
      <c r="H10" s="309"/>
      <c r="I10" s="309"/>
      <c r="J10" s="309"/>
      <c r="K10" s="309"/>
      <c r="L10" s="120" t="str">
        <f>IF(ISERROR(M10/N10),"Incomplete",IF(COUNTIF(M13:M42,"Zero")&gt;0,0,M10/N10))</f>
        <v>Incomplete</v>
      </c>
      <c r="M10" s="121" t="e">
        <f>IF(COUNTIF(M12:M42,"Wrong Selection")&gt;0,"Error",SUM(M12:M42))</f>
        <v>#NAME?</v>
      </c>
      <c r="N10" s="122" t="e">
        <f>SUM(N12:N42)</f>
        <v>#NAME?</v>
      </c>
      <c r="O10" s="9"/>
      <c r="P10" s="9"/>
      <c r="Q10" s="9"/>
      <c r="R10" s="9"/>
      <c r="S10" s="9"/>
      <c r="T10" s="9"/>
      <c r="U10" s="9"/>
      <c r="V10" s="9"/>
    </row>
    <row r="11" spans="1:22" ht="12.75" hidden="1" customHeight="1">
      <c r="A11" s="309"/>
      <c r="B11" s="309"/>
      <c r="C11" s="309"/>
      <c r="D11" s="309"/>
      <c r="E11" s="309"/>
      <c r="F11" s="309">
        <v>8</v>
      </c>
      <c r="G11" s="309">
        <v>9</v>
      </c>
      <c r="H11" s="309">
        <v>10</v>
      </c>
      <c r="I11" s="309">
        <v>11</v>
      </c>
      <c r="J11" s="309">
        <v>12</v>
      </c>
      <c r="K11" s="309"/>
      <c r="L11" s="308"/>
      <c r="M11" s="9"/>
      <c r="N11" s="310"/>
      <c r="O11" s="9"/>
      <c r="P11" s="9"/>
      <c r="Q11" s="9"/>
      <c r="R11" s="9"/>
      <c r="S11" s="9"/>
      <c r="T11" s="9"/>
      <c r="U11" s="9"/>
      <c r="V11" s="9"/>
    </row>
    <row r="12" spans="1:22" ht="12.75" customHeight="1">
      <c r="A12" s="96" t="s">
        <v>9</v>
      </c>
      <c r="B12" s="98" t="s">
        <v>68</v>
      </c>
      <c r="C12" s="98" t="s">
        <v>47</v>
      </c>
      <c r="D12" s="99" t="s">
        <v>69</v>
      </c>
      <c r="E12" s="99" t="s">
        <v>70</v>
      </c>
      <c r="F12" s="100" t="str">
        <f>AnsDef!J3</f>
        <v>Exceed</v>
      </c>
      <c r="G12" s="100" t="str">
        <f>AnsDef!K3</f>
        <v>Yes</v>
      </c>
      <c r="H12" s="100">
        <f>AnsDef!L3</f>
        <v>0</v>
      </c>
      <c r="I12" s="100" t="str">
        <f>AnsDef!M3</f>
        <v>No</v>
      </c>
      <c r="J12" s="100" t="str">
        <f>AnsDef!N3</f>
        <v>n/a</v>
      </c>
      <c r="K12" s="123" t="s">
        <v>71</v>
      </c>
      <c r="L12" s="124" t="s">
        <v>72</v>
      </c>
      <c r="M12" s="125" t="s">
        <v>73</v>
      </c>
      <c r="N12" s="126" t="str">
        <f>$K$12</f>
        <v>Max Value</v>
      </c>
      <c r="O12" s="127" t="s">
        <v>74</v>
      </c>
      <c r="P12" s="9"/>
      <c r="Q12" s="9"/>
      <c r="R12" s="9"/>
      <c r="S12" s="9"/>
      <c r="T12" s="9"/>
      <c r="U12" s="9"/>
      <c r="V12" s="9"/>
    </row>
    <row r="13" spans="1:22" ht="12.75" customHeight="1">
      <c r="A13" s="101">
        <v>1</v>
      </c>
      <c r="B13" s="102" t="e">
        <f>IF(OR(RIGHT(C13,7)="content",ISBLANK(C13)),"",IF(FormType="Online",VLOOKUP($A13,FormCoreSchemes,2,0),VLOOKUP($A13,FormCoreSchemes,5,0)))</f>
        <v>#NAME?</v>
      </c>
      <c r="C13" s="103" t="e">
        <f>IF(FormType="Online",VLOOKUP($A13,FormCoreSchemes,3,0),VLOOKUP($A13,FormCoreSchemes,6,0))</f>
        <v>#NAME?</v>
      </c>
      <c r="D13" s="102" t="e">
        <f>IF(FormType="Online",VLOOKUP($A13,FormCoreSchemes,4,0),VLOOKUP($A13,FormCoreSchemes,7,0))</f>
        <v>#NAME?</v>
      </c>
      <c r="E13" s="102" t="s">
        <v>75</v>
      </c>
      <c r="F13" s="104" t="e">
        <f>IF(OR(RIGHT($D13,7)="content",ISBLANK($C13)),"",VLOOKUP($D13,AnsTypecd,F$11,0))</f>
        <v>#NAME?</v>
      </c>
      <c r="G13" s="104" t="e">
        <f>IF(OR(RIGHT($D13,7)="content",ISBLANK($C13)),"",VLOOKUP($D13,AnsTypecd,G$11,0))</f>
        <v>#NAME?</v>
      </c>
      <c r="H13" s="104" t="e">
        <f>IF(OR(RIGHT($D13,7)="content",ISBLANK($C13)),"",VLOOKUP($D13,AnsTypecd,H$11,0))</f>
        <v>#NAME?</v>
      </c>
      <c r="I13" s="104" t="e">
        <f>IF(OR(RIGHT($D13,7)="content",ISBLANK($C13)),"",VLOOKUP($D13,AnsTypecd,I$11,0))</f>
        <v>#NAME?</v>
      </c>
      <c r="J13" s="104" t="e">
        <f>IF(OR(RIGHT($D13,7)="content",ISBLANK($C13)),"",VLOOKUP($D13,AnsTypecd,J$11,0))</f>
        <v>#NAME?</v>
      </c>
      <c r="K13" s="128" t="e">
        <f t="shared" ref="K13:K42" si="0">IF(SUM(F13:J13)=0,"",MAX(F13:J13))</f>
        <v>#NAME?</v>
      </c>
      <c r="L13" s="129" t="s">
        <v>76</v>
      </c>
      <c r="M13" s="130" t="e">
        <f>IF(L13="","",IF(L13="None",0,IF(COUNTIF(FatalErrorList,L13)&gt;0,FELabel,HLOOKUP(L13,formblock,$A13+1,0))))</f>
        <v>#NAME?</v>
      </c>
      <c r="N13" s="131" t="e">
        <f t="shared" ref="N13:N42" si="1">IF(L13="n/a","",$K13)</f>
        <v>#NAME?</v>
      </c>
      <c r="O13" s="132">
        <v>1</v>
      </c>
      <c r="P13" s="9"/>
      <c r="Q13" s="9"/>
      <c r="R13" s="9"/>
      <c r="S13" s="9"/>
      <c r="T13" s="9"/>
      <c r="U13" s="9"/>
      <c r="V13" s="9"/>
    </row>
    <row r="14" spans="1:22" ht="12.75" customHeight="1">
      <c r="A14" s="105">
        <v>2</v>
      </c>
      <c r="B14" s="106" t="e">
        <f>IF(OR(RIGHT(C14,7)="content",ISBLANK(C14)),"",IF(FormType="Online",VLOOKUP($A14,FormCoreSchemes,2,0),VLOOKUP($A14,FormCoreSchemes,5,0)))</f>
        <v>#NAME?</v>
      </c>
      <c r="C14" s="107" t="e">
        <f>IF(FormType="Online",VLOOKUP($A14,FormCoreSchemes,3,0),VLOOKUP($A14,FormCoreSchemes,6,0))</f>
        <v>#NAME?</v>
      </c>
      <c r="D14" s="106" t="e">
        <f>IF(FormType="Online",VLOOKUP($A14,FormCoreSchemes,4,0),VLOOKUP($A14,FormCoreSchemes,7,0))</f>
        <v>#NAME?</v>
      </c>
      <c r="E14" s="106" t="e">
        <f t="shared" ref="E14:E22" si="2">IF(OR(RIGHT(D14,7)="content",ISBLANK(C14)),"",VLOOKUP($D14,AnsTypecd,14,0))</f>
        <v>#NAME?</v>
      </c>
      <c r="F14" s="108" t="e">
        <v>#NAME?</v>
      </c>
      <c r="G14" s="108" t="e">
        <f>IF(OR(RIGHT($D14,7)="content",ISBLANK($C14)),"",VLOOKUP($D14,AnsTypecd,G$11,0))</f>
        <v>#NAME?</v>
      </c>
      <c r="H14" s="108" t="e">
        <f>IF(OR(RIGHT($D14,7)="content",ISBLANK($C14)),"",VLOOKUP($D14,AnsTypecd,H$11,0))</f>
        <v>#NAME?</v>
      </c>
      <c r="I14" s="108" t="e">
        <v>#NAME?</v>
      </c>
      <c r="J14" s="108" t="e">
        <f t="shared" ref="J14:J42" si="3">IF(OR(RIGHT($D14,7)="content",ISBLANK($C14)),"",VLOOKUP($D14,AnsTypecd,J$11,0))</f>
        <v>#NAME?</v>
      </c>
      <c r="K14" s="133" t="e">
        <f t="shared" si="0"/>
        <v>#NAME?</v>
      </c>
      <c r="L14" s="134" t="s">
        <v>76</v>
      </c>
      <c r="M14" s="130" t="e">
        <f>IF(L14="","",IF(L14="None",0,IF(COUNTIF(FatalErrorList,L14)&gt;0,FELabel,HLOOKUP(L14,formblock,$A14+1,0))))</f>
        <v>#NAME?</v>
      </c>
      <c r="N14" s="135" t="e">
        <f t="shared" si="1"/>
        <v>#NAME?</v>
      </c>
      <c r="O14" s="132">
        <v>2</v>
      </c>
      <c r="P14" s="9"/>
      <c r="Q14" s="9"/>
      <c r="R14" s="9"/>
      <c r="S14" s="9"/>
      <c r="T14" s="9"/>
      <c r="U14" s="9"/>
      <c r="V14" s="9"/>
    </row>
    <row r="15" spans="1:22" ht="12.75" customHeight="1">
      <c r="A15" s="109">
        <v>3</v>
      </c>
      <c r="B15" s="110" t="e">
        <f>IF(OR(RIGHT(C15,7)="content",ISBLANK(C15)),"",IF(FormType="Online",VLOOKUP($A15,FormCoreSchemes,2,0),VLOOKUP($A15,FormCoreSchemes,5,0)))</f>
        <v>#NAME?</v>
      </c>
      <c r="C15" s="111" t="e">
        <f>IF(FormType="Online",VLOOKUP($A15,FormCoreSchemes,3,0),VLOOKUP($A15,FormCoreSchemes,6,0))</f>
        <v>#NAME?</v>
      </c>
      <c r="D15" s="110" t="e">
        <f>IF(FormType="Online",VLOOKUP($A15,FormCoreSchemes,4,0),VLOOKUP($A15,FormCoreSchemes,7,0))</f>
        <v>#NAME?</v>
      </c>
      <c r="E15" s="110" t="e">
        <f t="shared" si="2"/>
        <v>#NAME?</v>
      </c>
      <c r="F15" s="112" t="e">
        <f>IF(OR(RIGHT($D15,7)="content",ISBLANK($C15)),"",VLOOKUP($D15,AnsTypecd,F$11,0))</f>
        <v>#NAME?</v>
      </c>
      <c r="G15" s="112" t="e">
        <f>IF(OR(RIGHT($D15,7)="content",ISBLANK($C15)),"",VLOOKUP($D15,AnsTypecd,G$11,0))</f>
        <v>#NAME?</v>
      </c>
      <c r="H15" s="112" t="e">
        <v>#NAME?</v>
      </c>
      <c r="I15" s="112" t="e">
        <f t="shared" ref="I15:I42" si="4">IF(OR(RIGHT($D15,7)="content",ISBLANK($C15)),"",VLOOKUP($D15,AnsTypecd,I$11,0))</f>
        <v>#NAME?</v>
      </c>
      <c r="J15" s="112" t="e">
        <f t="shared" si="3"/>
        <v>#NAME?</v>
      </c>
      <c r="K15" s="136" t="e">
        <f t="shared" si="0"/>
        <v>#NAME?</v>
      </c>
      <c r="L15" s="134" t="s">
        <v>76</v>
      </c>
      <c r="M15" s="130" t="e">
        <f>IF(L15="","",IF(L15="None",0,IF(COUNTIF(FatalErrorList,L15)&gt;0,FELabel,HLOOKUP(L15,formblock,$A15+1,0))))</f>
        <v>#NAME?</v>
      </c>
      <c r="N15" s="135" t="e">
        <f t="shared" si="1"/>
        <v>#NAME?</v>
      </c>
      <c r="O15" s="132">
        <v>1</v>
      </c>
      <c r="P15" s="9"/>
      <c r="Q15" s="9"/>
      <c r="R15" s="9"/>
      <c r="S15" s="9"/>
      <c r="T15" s="9"/>
      <c r="U15" s="9"/>
      <c r="V15" s="9"/>
    </row>
    <row r="16" spans="1:22" ht="12.75" customHeight="1">
      <c r="A16" s="105">
        <v>4</v>
      </c>
      <c r="B16" s="106" t="e">
        <f>IF(OR(RIGHT(C16,7)="content",ISBLANK(C16)),"",IF(FormType="Online",VLOOKUP($A16,FormCoreSchemes,2,0),VLOOKUP($A16,FormCoreSchemes,5,0)))</f>
        <v>#NAME?</v>
      </c>
      <c r="C16" s="107" t="e">
        <f>IF(FormType="Online",VLOOKUP($A16,FormCoreSchemes,3,0),VLOOKUP($A16,FormCoreSchemes,6,0))</f>
        <v>#NAME?</v>
      </c>
      <c r="D16" s="106" t="e">
        <f>IF(FormType="Online",VLOOKUP($A16,FormCoreSchemes,4,0),VLOOKUP($A16,FormCoreSchemes,7,0))</f>
        <v>#NAME?</v>
      </c>
      <c r="E16" s="106" t="e">
        <f t="shared" si="2"/>
        <v>#NAME?</v>
      </c>
      <c r="F16" s="108" t="e">
        <f>IF(OR(RIGHT($D16,7)="content",ISBLANK($C16)),"",VLOOKUP($D16,AnsTypecd,F$11,0))</f>
        <v>#NAME?</v>
      </c>
      <c r="G16" s="108" t="e">
        <f>IF(OR(RIGHT($D16,7)="content",ISBLANK($C16)),"",VLOOKUP($D16,AnsTypecd,G$11,0))</f>
        <v>#NAME?</v>
      </c>
      <c r="H16" s="108" t="e">
        <f t="shared" ref="H16:H42" si="5">IF(OR(RIGHT($D16,7)="content",ISBLANK($C16)),"",VLOOKUP($D16,AnsTypecd,H$11,0))</f>
        <v>#NAME?</v>
      </c>
      <c r="I16" s="108" t="e">
        <f t="shared" si="4"/>
        <v>#NAME?</v>
      </c>
      <c r="J16" s="108" t="e">
        <f t="shared" si="3"/>
        <v>#NAME?</v>
      </c>
      <c r="K16" s="133" t="e">
        <f t="shared" si="0"/>
        <v>#NAME?</v>
      </c>
      <c r="L16" s="134" t="s">
        <v>77</v>
      </c>
      <c r="M16" s="130" t="e">
        <f>IF(L16="","",IF(L16="None",0,IF(COUNTIF(FatalErrorList,L16)&gt;0,FELabel,HLOOKUP(L16,formblock,$A16+1,0))))</f>
        <v>#NAME?</v>
      </c>
      <c r="N16" s="135" t="str">
        <f t="shared" si="1"/>
        <v/>
      </c>
      <c r="O16" s="132">
        <v>2</v>
      </c>
      <c r="P16" s="9"/>
      <c r="Q16" s="9"/>
      <c r="R16" s="9"/>
      <c r="S16" s="9"/>
      <c r="T16" s="9"/>
      <c r="U16" s="9"/>
      <c r="V16" s="9"/>
    </row>
    <row r="17" spans="1:22" ht="12.75" customHeight="1">
      <c r="A17" s="109">
        <v>5</v>
      </c>
      <c r="B17" s="110" t="e">
        <f>IF(OR(RIGHT(C17,7)="content",ISBLANK(C17)),"",IF(FormType="Online",VLOOKUP($A17,FormCoreSchemes,2,0),VLOOKUP($A17,FormCoreSchemes,5,0)))</f>
        <v>#NAME?</v>
      </c>
      <c r="C17" s="111" t="e">
        <f>IF(FormType="Online",VLOOKUP($A17,FormCoreSchemes,3,0),VLOOKUP($A17,FormCoreSchemes,6,0))</f>
        <v>#NAME?</v>
      </c>
      <c r="D17" s="110" t="e">
        <f>IF(FormType="Online",VLOOKUP($A17,FormCoreSchemes,4,0),VLOOKUP($A17,FormCoreSchemes,7,0))</f>
        <v>#NAME?</v>
      </c>
      <c r="E17" s="110" t="e">
        <f t="shared" si="2"/>
        <v>#NAME?</v>
      </c>
      <c r="F17" s="112" t="e">
        <v>#NAME?</v>
      </c>
      <c r="G17" s="112" t="e">
        <f t="shared" ref="G17:G42" si="6">IF(OR(RIGHT($D17,7)="content",ISBLANK($C17)),"",VLOOKUP($D17,AnsTypecd,G$11,0))</f>
        <v>#NAME?</v>
      </c>
      <c r="H17" s="112" t="e">
        <f t="shared" si="5"/>
        <v>#NAME?</v>
      </c>
      <c r="I17" s="112" t="e">
        <f t="shared" si="4"/>
        <v>#NAME?</v>
      </c>
      <c r="J17" s="112" t="e">
        <f t="shared" si="3"/>
        <v>#NAME?</v>
      </c>
      <c r="K17" s="136" t="e">
        <f t="shared" si="0"/>
        <v>#NAME?</v>
      </c>
      <c r="L17" s="134" t="s">
        <v>76</v>
      </c>
      <c r="M17" s="130" t="e">
        <f>IF(L17="","",IF(L17="None",0,IF(COUNTIF(FatalErrorList,L17)&gt;0,FELabel,HLOOKUP(L17,formblock,$A17+1,0))))</f>
        <v>#NAME?</v>
      </c>
      <c r="N17" s="135" t="e">
        <f t="shared" si="1"/>
        <v>#NAME?</v>
      </c>
      <c r="O17" s="132">
        <v>1</v>
      </c>
      <c r="P17" s="9"/>
      <c r="Q17" s="9"/>
      <c r="R17" s="9"/>
      <c r="S17" s="9"/>
      <c r="T17" s="9"/>
      <c r="U17" s="9"/>
      <c r="V17" s="9"/>
    </row>
    <row r="18" spans="1:22" ht="12.75" customHeight="1">
      <c r="A18" s="105">
        <v>6</v>
      </c>
      <c r="B18" s="106" t="e">
        <f>IF(OR(RIGHT(C18,7)="content",ISBLANK(C18)),"",IF(FormType="Online",VLOOKUP($A18,FormCoreSchemes,2,0),VLOOKUP($A18,FormCoreSchemes,5,0)))</f>
        <v>#NAME?</v>
      </c>
      <c r="C18" s="107" t="e">
        <f>IF(FormType="Online",VLOOKUP($A18,FormCoreSchemes,3,0),VLOOKUP($A18,FormCoreSchemes,6,0))</f>
        <v>#NAME?</v>
      </c>
      <c r="D18" s="106" t="e">
        <v>#NAME?</v>
      </c>
      <c r="E18" s="106" t="e">
        <f t="shared" si="2"/>
        <v>#NAME?</v>
      </c>
      <c r="F18" s="108" t="e">
        <f t="shared" ref="F18:F42" si="7">IF(OR(RIGHT($D18,7)="content",ISBLANK($C18)),"",VLOOKUP($D18,AnsTypecd,F$11,0))</f>
        <v>#NAME?</v>
      </c>
      <c r="G18" s="108" t="e">
        <f t="shared" si="6"/>
        <v>#NAME?</v>
      </c>
      <c r="H18" s="108" t="e">
        <f t="shared" si="5"/>
        <v>#NAME?</v>
      </c>
      <c r="I18" s="108" t="e">
        <f t="shared" si="4"/>
        <v>#NAME?</v>
      </c>
      <c r="J18" s="108" t="e">
        <f t="shared" si="3"/>
        <v>#NAME?</v>
      </c>
      <c r="K18" s="133" t="e">
        <f t="shared" si="0"/>
        <v>#NAME?</v>
      </c>
      <c r="L18" s="134" t="s">
        <v>76</v>
      </c>
      <c r="M18" s="130" t="e">
        <f>IF(L18="","",IF(L18="None",0,IF(COUNTIF(FatalErrorList,L18)&gt;0,FELabel,HLOOKUP(L18,formblock,$A18+1,0))))</f>
        <v>#NAME?</v>
      </c>
      <c r="N18" s="135" t="e">
        <f t="shared" si="1"/>
        <v>#NAME?</v>
      </c>
      <c r="O18" s="132">
        <v>2</v>
      </c>
      <c r="P18" s="9"/>
      <c r="Q18" s="9"/>
      <c r="R18" s="9"/>
      <c r="S18" s="9"/>
      <c r="T18" s="9"/>
      <c r="U18" s="9"/>
      <c r="V18" s="9"/>
    </row>
    <row r="19" spans="1:22" ht="12.75" customHeight="1">
      <c r="A19" s="109">
        <v>7</v>
      </c>
      <c r="B19" s="110" t="e">
        <f>IF(OR(RIGHT(C19,7)="content",ISBLANK(C19)),"",IF(FormType="Online",VLOOKUP($A19,FormCoreSchemes,2,0),VLOOKUP($A19,FormCoreSchemes,5,0)))</f>
        <v>#NAME?</v>
      </c>
      <c r="C19" s="111" t="e">
        <f>IF(FormType="Online",VLOOKUP($A19,FormCoreSchemes,3,0),VLOOKUP($A19,FormCoreSchemes,6,0))</f>
        <v>#NAME?</v>
      </c>
      <c r="D19" s="110" t="e">
        <f>IF(FormType="Online",VLOOKUP($A19,FormCoreSchemes,4,0),VLOOKUP($A19,FormCoreSchemes,7,0))</f>
        <v>#NAME?</v>
      </c>
      <c r="E19" s="110" t="e">
        <f t="shared" si="2"/>
        <v>#NAME?</v>
      </c>
      <c r="F19" s="112" t="e">
        <f t="shared" si="7"/>
        <v>#NAME?</v>
      </c>
      <c r="G19" s="112" t="e">
        <f t="shared" si="6"/>
        <v>#NAME?</v>
      </c>
      <c r="H19" s="112" t="e">
        <f t="shared" si="5"/>
        <v>#NAME?</v>
      </c>
      <c r="I19" s="112" t="e">
        <f t="shared" si="4"/>
        <v>#NAME?</v>
      </c>
      <c r="J19" s="112" t="e">
        <f t="shared" si="3"/>
        <v>#NAME?</v>
      </c>
      <c r="K19" s="136" t="e">
        <f t="shared" si="0"/>
        <v>#NAME?</v>
      </c>
      <c r="L19" s="134" t="s">
        <v>76</v>
      </c>
      <c r="M19" s="130" t="e">
        <f>IF(L19="","",IF(L19="None",0,IF(COUNTIF(FatalErrorList,L19)&gt;0,FELabel,HLOOKUP(L19,formblock,$A19+1,0))))</f>
        <v>#NAME?</v>
      </c>
      <c r="N19" s="135" t="e">
        <f t="shared" si="1"/>
        <v>#NAME?</v>
      </c>
      <c r="O19" s="132">
        <v>1</v>
      </c>
      <c r="P19" s="9"/>
      <c r="Q19" s="9"/>
      <c r="R19" s="9"/>
      <c r="S19" s="9"/>
      <c r="T19" s="9"/>
      <c r="U19" s="9"/>
      <c r="V19" s="9"/>
    </row>
    <row r="20" spans="1:22" ht="12.75" customHeight="1">
      <c r="A20" s="105">
        <v>8</v>
      </c>
      <c r="B20" s="106" t="e">
        <f>IF(OR(RIGHT(C20,7)="content",ISBLANK(C20)),"",IF(FormType="Online",VLOOKUP($A20,FormCoreSchemes,2,0),VLOOKUP($A20,FormCoreSchemes,5,0)))</f>
        <v>#NAME?</v>
      </c>
      <c r="C20" s="107" t="e">
        <f>IF(FormType="Online",VLOOKUP($A20,FormCoreSchemes,3,0),VLOOKUP($A20,FormCoreSchemes,6,0))</f>
        <v>#NAME?</v>
      </c>
      <c r="D20" s="106" t="e">
        <f>IF(FormType="Online",VLOOKUP($A20,FormCoreSchemes,4,0),VLOOKUP($A20,FormCoreSchemes,7,0))</f>
        <v>#NAME?</v>
      </c>
      <c r="E20" s="106" t="e">
        <f t="shared" si="2"/>
        <v>#NAME?</v>
      </c>
      <c r="F20" s="108" t="e">
        <f t="shared" si="7"/>
        <v>#NAME?</v>
      </c>
      <c r="G20" s="108" t="e">
        <f t="shared" si="6"/>
        <v>#NAME?</v>
      </c>
      <c r="H20" s="108" t="e">
        <f t="shared" si="5"/>
        <v>#NAME?</v>
      </c>
      <c r="I20" s="108" t="e">
        <f t="shared" si="4"/>
        <v>#NAME?</v>
      </c>
      <c r="J20" s="108" t="e">
        <f t="shared" si="3"/>
        <v>#NAME?</v>
      </c>
      <c r="K20" s="133" t="e">
        <f t="shared" si="0"/>
        <v>#NAME?</v>
      </c>
      <c r="L20" s="134" t="s">
        <v>77</v>
      </c>
      <c r="M20" s="130" t="e">
        <f>IF(L20="","",IF(L20="None",0,IF(COUNTIF(FatalErrorList,L20)&gt;0,FELabel,HLOOKUP(L20,formblock,$A20+1,0))))</f>
        <v>#NAME?</v>
      </c>
      <c r="N20" s="135" t="str">
        <f t="shared" si="1"/>
        <v/>
      </c>
      <c r="O20" s="132">
        <v>2</v>
      </c>
      <c r="P20" s="9"/>
      <c r="Q20" s="9"/>
      <c r="R20" s="9"/>
      <c r="S20" s="9"/>
      <c r="T20" s="9"/>
      <c r="U20" s="9"/>
      <c r="V20" s="9"/>
    </row>
    <row r="21" spans="1:22" ht="12.75" customHeight="1">
      <c r="A21" s="109">
        <v>9</v>
      </c>
      <c r="B21" s="110" t="e">
        <f>IF(OR(RIGHT(C21,7)="content",ISBLANK(C21)),"",IF(FormType="Online",VLOOKUP($A21,FormCoreSchemes,2,0),VLOOKUP($A21,FormCoreSchemes,5,0)))</f>
        <v>#NAME?</v>
      </c>
      <c r="C21" s="113" t="e">
        <f>IF(FormType="Online",VLOOKUP($A21,FormCoreSchemes,3,0),VLOOKUP($A21,FormCoreSchemes,6,0))</f>
        <v>#NAME?</v>
      </c>
      <c r="D21" s="110" t="e">
        <f>IF(FormType="Online",VLOOKUP($A21,FormCoreSchemes,4,0),VLOOKUP($A21,FormCoreSchemes,7,0))</f>
        <v>#NAME?</v>
      </c>
      <c r="E21" s="110" t="e">
        <f t="shared" si="2"/>
        <v>#NAME?</v>
      </c>
      <c r="F21" s="112" t="e">
        <f t="shared" si="7"/>
        <v>#NAME?</v>
      </c>
      <c r="G21" s="112" t="e">
        <f t="shared" si="6"/>
        <v>#NAME?</v>
      </c>
      <c r="H21" s="112" t="e">
        <f t="shared" si="5"/>
        <v>#NAME?</v>
      </c>
      <c r="I21" s="112" t="e">
        <f t="shared" si="4"/>
        <v>#NAME?</v>
      </c>
      <c r="J21" s="112" t="e">
        <f t="shared" si="3"/>
        <v>#NAME?</v>
      </c>
      <c r="K21" s="136" t="e">
        <f t="shared" si="0"/>
        <v>#NAME?</v>
      </c>
      <c r="L21" s="134" t="s">
        <v>76</v>
      </c>
      <c r="M21" s="130" t="e">
        <f>IF(L21="","",IF(L21="None",0,IF(COUNTIF(FatalErrorList,L21)&gt;0,FELabel,HLOOKUP(L21,formblock,$A21+1,0))))</f>
        <v>#NAME?</v>
      </c>
      <c r="N21" s="135" t="e">
        <f t="shared" si="1"/>
        <v>#NAME?</v>
      </c>
      <c r="O21" s="132">
        <v>1</v>
      </c>
      <c r="P21" s="9"/>
      <c r="Q21" s="2"/>
      <c r="R21" s="2"/>
      <c r="S21" s="2"/>
      <c r="T21" s="2"/>
      <c r="U21" s="2"/>
      <c r="V21" s="2"/>
    </row>
    <row r="22" spans="1:22" ht="12.75" customHeight="1">
      <c r="A22" s="105">
        <v>10</v>
      </c>
      <c r="B22" s="106" t="e">
        <f>IF(OR(RIGHT(C22,7)="content",ISBLANK(C22)),"",IF(FormType="Online",VLOOKUP($A22,FormCoreSchemes,2,0),VLOOKUP($A22,FormCoreSchemes,5,0)))</f>
        <v>#NAME?</v>
      </c>
      <c r="C22" s="107" t="e">
        <f>IF(FormType="Online",VLOOKUP($A22,FormCoreSchemes,3,0),VLOOKUP($A22,FormCoreSchemes,6,0))</f>
        <v>#NAME?</v>
      </c>
      <c r="D22" s="106" t="e">
        <f>IF(FormType="Online",VLOOKUP($A22,FormCoreSchemes,4,0),VLOOKUP($A22,FormCoreSchemes,7,0))</f>
        <v>#NAME?</v>
      </c>
      <c r="E22" s="106" t="e">
        <f t="shared" si="2"/>
        <v>#NAME?</v>
      </c>
      <c r="F22" s="108" t="e">
        <f t="shared" si="7"/>
        <v>#NAME?</v>
      </c>
      <c r="G22" s="108" t="e">
        <f t="shared" si="6"/>
        <v>#NAME?</v>
      </c>
      <c r="H22" s="108" t="e">
        <f t="shared" si="5"/>
        <v>#NAME?</v>
      </c>
      <c r="I22" s="108" t="e">
        <f t="shared" si="4"/>
        <v>#NAME?</v>
      </c>
      <c r="J22" s="108" t="e">
        <f t="shared" si="3"/>
        <v>#NAME?</v>
      </c>
      <c r="K22" s="133" t="e">
        <f t="shared" si="0"/>
        <v>#NAME?</v>
      </c>
      <c r="L22" s="134" t="s">
        <v>76</v>
      </c>
      <c r="M22" s="130" t="e">
        <v>#NAME?</v>
      </c>
      <c r="N22" s="135" t="e">
        <f t="shared" si="1"/>
        <v>#NAME?</v>
      </c>
      <c r="O22" s="132">
        <v>2</v>
      </c>
      <c r="P22" s="9"/>
      <c r="Q22" s="9"/>
      <c r="R22" s="9"/>
      <c r="S22" s="9"/>
      <c r="T22" s="9"/>
      <c r="U22" s="9"/>
      <c r="V22" s="9"/>
    </row>
    <row r="23" spans="1:22" ht="12.75" customHeight="1">
      <c r="A23" s="109">
        <v>11</v>
      </c>
      <c r="B23" s="110" t="e">
        <f>IF(OR(RIGHT(C23,7)="content",ISBLANK(C23)),"",IF(FormType="Online",VLOOKUP($A23,FormCoreSchemes,2,0),VLOOKUP($A23,FormCoreSchemes,5,0)))</f>
        <v>#NAME?</v>
      </c>
      <c r="C23" s="111" t="e">
        <f>IF(FormType="Online",VLOOKUP($A23,FormCoreSchemes,3,0),VLOOKUP($A23,FormCoreSchemes,6,0))</f>
        <v>#NAME?</v>
      </c>
      <c r="D23" s="110" t="e">
        <f>IF(FormType="Online",VLOOKUP($A23,FormCoreSchemes,4,0),VLOOKUP($A23,FormCoreSchemes,7,0))</f>
        <v>#NAME?</v>
      </c>
      <c r="E23" s="110" t="e">
        <v>#NAME?</v>
      </c>
      <c r="F23" s="112" t="e">
        <f t="shared" si="7"/>
        <v>#NAME?</v>
      </c>
      <c r="G23" s="112" t="e">
        <f t="shared" si="6"/>
        <v>#NAME?</v>
      </c>
      <c r="H23" s="112" t="e">
        <f t="shared" si="5"/>
        <v>#NAME?</v>
      </c>
      <c r="I23" s="112" t="e">
        <f t="shared" si="4"/>
        <v>#NAME?</v>
      </c>
      <c r="J23" s="112" t="e">
        <f t="shared" si="3"/>
        <v>#NAME?</v>
      </c>
      <c r="K23" s="136" t="e">
        <f t="shared" si="0"/>
        <v>#NAME?</v>
      </c>
      <c r="L23" s="134" t="s">
        <v>76</v>
      </c>
      <c r="M23" s="130" t="e">
        <f>IF(L23="","",IF(L23="None",0,IF(COUNTIF(FatalErrorList,L23)&gt;0,FELabel,HLOOKUP(L23,formblock,$A23+1,0))))</f>
        <v>#NAME?</v>
      </c>
      <c r="N23" s="135" t="e">
        <f t="shared" si="1"/>
        <v>#NAME?</v>
      </c>
      <c r="O23" s="132">
        <v>1</v>
      </c>
      <c r="P23" s="9"/>
      <c r="Q23" s="9"/>
      <c r="R23" s="9"/>
      <c r="S23" s="9"/>
      <c r="T23" s="9"/>
      <c r="U23" s="9"/>
      <c r="V23" s="9"/>
    </row>
    <row r="24" spans="1:22" ht="12.75" customHeight="1">
      <c r="A24" s="105">
        <v>12</v>
      </c>
      <c r="B24" s="106" t="e">
        <f>IF(OR(RIGHT(C24,7)="content",ISBLANK(C24)),"",IF(FormType="Online",VLOOKUP($A24,FormCoreSchemes,2,0),VLOOKUP($A24,FormCoreSchemes,5,0)))</f>
        <v>#NAME?</v>
      </c>
      <c r="C24" s="107" t="e">
        <f>IF(FormType="Online",VLOOKUP($A24,FormCoreSchemes,3,0),VLOOKUP($A24,FormCoreSchemes,6,0))</f>
        <v>#NAME?</v>
      </c>
      <c r="D24" s="106" t="e">
        <f>IF(FormType="Online",VLOOKUP($A24,FormCoreSchemes,4,0),VLOOKUP($A24,FormCoreSchemes,7,0))</f>
        <v>#NAME?</v>
      </c>
      <c r="E24" s="106" t="e">
        <f t="shared" ref="E24:E42" si="8">IF(OR(RIGHT(D24,7)="content",ISBLANK(C24)),"",VLOOKUP($D24,AnsTypecd,14,0))</f>
        <v>#NAME?</v>
      </c>
      <c r="F24" s="108" t="e">
        <f t="shared" si="7"/>
        <v>#NAME?</v>
      </c>
      <c r="G24" s="108" t="e">
        <f t="shared" si="6"/>
        <v>#NAME?</v>
      </c>
      <c r="H24" s="108" t="e">
        <f t="shared" si="5"/>
        <v>#NAME?</v>
      </c>
      <c r="I24" s="108" t="e">
        <f t="shared" si="4"/>
        <v>#NAME?</v>
      </c>
      <c r="J24" s="108" t="e">
        <f t="shared" si="3"/>
        <v>#NAME?</v>
      </c>
      <c r="K24" s="133" t="e">
        <f t="shared" si="0"/>
        <v>#NAME?</v>
      </c>
      <c r="L24" s="134" t="s">
        <v>76</v>
      </c>
      <c r="M24" s="130" t="e">
        <f>IF(L24="","",IF(L24="None",0,IF(COUNTIF(FatalErrorList,L24)&gt;0,FELabel,HLOOKUP(L24,formblock,$A24+1,0))))</f>
        <v>#NAME?</v>
      </c>
      <c r="N24" s="135" t="e">
        <f t="shared" si="1"/>
        <v>#NAME?</v>
      </c>
      <c r="O24" s="132">
        <v>2</v>
      </c>
      <c r="P24" s="9"/>
      <c r="Q24" s="9"/>
      <c r="R24" s="9"/>
      <c r="S24" s="9"/>
      <c r="T24" s="9"/>
      <c r="U24" s="9"/>
      <c r="V24" s="9"/>
    </row>
    <row r="25" spans="1:22" ht="12.75" customHeight="1">
      <c r="A25" s="109">
        <v>13</v>
      </c>
      <c r="B25" s="110" t="e">
        <f>IF(OR(RIGHT(C25,7)="content",ISBLANK(C25)),"",IF(FormType="Online",VLOOKUP($A25,FormCoreSchemes,2,0),VLOOKUP($A25,FormCoreSchemes,5,0)))</f>
        <v>#NAME?</v>
      </c>
      <c r="C25" s="111" t="e">
        <f>IF(FormType="Online",VLOOKUP($A25,FormCoreSchemes,3,0),VLOOKUP($A25,FormCoreSchemes,6,0))</f>
        <v>#NAME?</v>
      </c>
      <c r="D25" s="110" t="e">
        <f>IF(FormType="Online",VLOOKUP($A25,FormCoreSchemes,4,0),VLOOKUP($A25,FormCoreSchemes,7,0))</f>
        <v>#NAME?</v>
      </c>
      <c r="E25" s="110" t="e">
        <f t="shared" si="8"/>
        <v>#NAME?</v>
      </c>
      <c r="F25" s="112" t="e">
        <f t="shared" si="7"/>
        <v>#NAME?</v>
      </c>
      <c r="G25" s="112" t="e">
        <f t="shared" si="6"/>
        <v>#NAME?</v>
      </c>
      <c r="H25" s="112" t="e">
        <f t="shared" si="5"/>
        <v>#NAME?</v>
      </c>
      <c r="I25" s="112" t="e">
        <f t="shared" si="4"/>
        <v>#NAME?</v>
      </c>
      <c r="J25" s="112" t="e">
        <f t="shared" si="3"/>
        <v>#NAME?</v>
      </c>
      <c r="K25" s="136" t="e">
        <f t="shared" si="0"/>
        <v>#NAME?</v>
      </c>
      <c r="L25" s="134" t="s">
        <v>76</v>
      </c>
      <c r="M25" s="130" t="e">
        <f>IF(L25="","",IF(L25="None",0,IF(COUNTIF(FatalErrorList,L25)&gt;0,FELabel,HLOOKUP(L25,formblock,$A25+1,0))))</f>
        <v>#NAME?</v>
      </c>
      <c r="N25" s="135" t="e">
        <f t="shared" si="1"/>
        <v>#NAME?</v>
      </c>
      <c r="O25" s="132">
        <v>1</v>
      </c>
      <c r="P25" s="9"/>
      <c r="Q25" s="9"/>
      <c r="R25" s="9"/>
      <c r="S25" s="9"/>
      <c r="T25" s="9"/>
      <c r="U25" s="9"/>
      <c r="V25" s="9"/>
    </row>
    <row r="26" spans="1:22" ht="12.75" customHeight="1">
      <c r="A26" s="105">
        <v>14</v>
      </c>
      <c r="B26" s="106" t="e">
        <f>IF(OR(RIGHT(C26,7)="content",ISBLANK(C26)),"",IF(FormType="Online",VLOOKUP($A26,FormCoreSchemes,2,0),VLOOKUP($A26,FormCoreSchemes,5,0)))</f>
        <v>#NAME?</v>
      </c>
      <c r="C26" s="114" t="e">
        <f>IF(FormType="Online",VLOOKUP($A26,FormCoreSchemes,3,0),VLOOKUP($A26,FormCoreSchemes,6,0))</f>
        <v>#NAME?</v>
      </c>
      <c r="D26" s="106" t="e">
        <f>IF(FormType="Online",VLOOKUP($A26,FormCoreSchemes,4,0),VLOOKUP($A26,FormCoreSchemes,7,0))</f>
        <v>#NAME?</v>
      </c>
      <c r="E26" s="106" t="e">
        <f t="shared" si="8"/>
        <v>#NAME?</v>
      </c>
      <c r="F26" s="108" t="e">
        <f t="shared" si="7"/>
        <v>#NAME?</v>
      </c>
      <c r="G26" s="108" t="e">
        <f t="shared" si="6"/>
        <v>#NAME?</v>
      </c>
      <c r="H26" s="108" t="e">
        <f t="shared" si="5"/>
        <v>#NAME?</v>
      </c>
      <c r="I26" s="108" t="e">
        <f t="shared" si="4"/>
        <v>#NAME?</v>
      </c>
      <c r="J26" s="108" t="e">
        <f t="shared" si="3"/>
        <v>#NAME?</v>
      </c>
      <c r="K26" s="133" t="e">
        <f t="shared" si="0"/>
        <v>#NAME?</v>
      </c>
      <c r="L26" s="134" t="s">
        <v>76</v>
      </c>
      <c r="M26" s="130" t="e">
        <f>IF(L26="","",IF(L26="None",0,IF(COUNTIF(FatalErrorList,L26)&gt;0,FELabel,HLOOKUP(L26,formblock,$A26+1,0))))</f>
        <v>#NAME?</v>
      </c>
      <c r="N26" s="135" t="e">
        <f t="shared" si="1"/>
        <v>#NAME?</v>
      </c>
      <c r="O26" s="132">
        <v>2</v>
      </c>
      <c r="P26" s="9"/>
      <c r="Q26" s="9"/>
      <c r="R26" s="9"/>
      <c r="S26" s="9"/>
      <c r="T26" s="9"/>
      <c r="U26" s="9"/>
      <c r="V26" s="9"/>
    </row>
    <row r="27" spans="1:22" ht="12.75" customHeight="1">
      <c r="A27" s="109">
        <v>15</v>
      </c>
      <c r="B27" s="110" t="e">
        <f>IF(OR(RIGHT(C27,7)="content",ISBLANK(C27)),"",IF(FormType="Online",VLOOKUP($A27,FormCoreSchemes,2,0),VLOOKUP($A27,FormCoreSchemes,5,0)))</f>
        <v>#NAME?</v>
      </c>
      <c r="C27" s="111" t="e">
        <f>IF(FormType="Online",VLOOKUP($A27,FormCoreSchemes,3,0),VLOOKUP($A27,FormCoreSchemes,6,0))</f>
        <v>#NAME?</v>
      </c>
      <c r="D27" s="110" t="e">
        <f>IF(FormType="Online",VLOOKUP($A27,FormCoreSchemes,4,0),VLOOKUP($A27,FormCoreSchemes,7,0))</f>
        <v>#NAME?</v>
      </c>
      <c r="E27" s="110" t="e">
        <f t="shared" si="8"/>
        <v>#NAME?</v>
      </c>
      <c r="F27" s="112" t="e">
        <f t="shared" si="7"/>
        <v>#NAME?</v>
      </c>
      <c r="G27" s="112" t="e">
        <f t="shared" si="6"/>
        <v>#NAME?</v>
      </c>
      <c r="H27" s="112" t="e">
        <f t="shared" si="5"/>
        <v>#NAME?</v>
      </c>
      <c r="I27" s="112" t="e">
        <f t="shared" si="4"/>
        <v>#NAME?</v>
      </c>
      <c r="J27" s="112" t="e">
        <f t="shared" si="3"/>
        <v>#NAME?</v>
      </c>
      <c r="K27" s="136" t="e">
        <f t="shared" si="0"/>
        <v>#NAME?</v>
      </c>
      <c r="L27" s="134" t="s">
        <v>76</v>
      </c>
      <c r="M27" s="130" t="e">
        <f>IF(L27="","",IF(L27="None",0,IF(COUNTIF(FatalErrorList,L27)&gt;0,FELabel,HLOOKUP(L27,formblock,$A27+1,0))))</f>
        <v>#NAME?</v>
      </c>
      <c r="N27" s="135" t="e">
        <f t="shared" si="1"/>
        <v>#NAME?</v>
      </c>
      <c r="O27" s="132">
        <v>1</v>
      </c>
      <c r="P27" s="9"/>
      <c r="Q27" s="9"/>
      <c r="R27" s="9"/>
      <c r="S27" s="9"/>
      <c r="T27" s="9"/>
      <c r="U27" s="9"/>
      <c r="V27" s="9"/>
    </row>
    <row r="28" spans="1:22" ht="12.75" customHeight="1">
      <c r="A28" s="105">
        <v>16</v>
      </c>
      <c r="B28" s="106" t="e">
        <f>IF(OR(RIGHT(C28,7)="content",ISBLANK(C28)),"",IF(FormType="Online",VLOOKUP($A28,FormCoreSchemes,2,0),VLOOKUP($A28,FormCoreSchemes,5,0)))</f>
        <v>#NAME?</v>
      </c>
      <c r="C28" s="107" t="e">
        <f>IF(FormType="Online",VLOOKUP($A28,FormCoreSchemes,3,0),VLOOKUP($A28,FormCoreSchemes,6,0))</f>
        <v>#NAME?</v>
      </c>
      <c r="D28" s="106" t="e">
        <f>IF(FormType="Online",VLOOKUP($A28,FormCoreSchemes,4,0),VLOOKUP($A28,FormCoreSchemes,7,0))</f>
        <v>#NAME?</v>
      </c>
      <c r="E28" s="106" t="e">
        <f t="shared" si="8"/>
        <v>#NAME?</v>
      </c>
      <c r="F28" s="108" t="e">
        <f t="shared" si="7"/>
        <v>#NAME?</v>
      </c>
      <c r="G28" s="108" t="e">
        <f t="shared" si="6"/>
        <v>#NAME?</v>
      </c>
      <c r="H28" s="108" t="e">
        <f t="shared" si="5"/>
        <v>#NAME?</v>
      </c>
      <c r="I28" s="108" t="e">
        <f t="shared" si="4"/>
        <v>#NAME?</v>
      </c>
      <c r="J28" s="108" t="e">
        <f t="shared" si="3"/>
        <v>#NAME?</v>
      </c>
      <c r="K28" s="133" t="e">
        <f t="shared" si="0"/>
        <v>#NAME?</v>
      </c>
      <c r="L28" s="134" t="s">
        <v>76</v>
      </c>
      <c r="M28" s="130" t="e">
        <f>IF(L28="","",IF(L28="None",0,IF(COUNTIF(FatalErrorList,L28)&gt;0,FELabel,HLOOKUP(L28,formblock,$A28+1,0))))</f>
        <v>#NAME?</v>
      </c>
      <c r="N28" s="135" t="e">
        <f t="shared" si="1"/>
        <v>#NAME?</v>
      </c>
      <c r="O28" s="132">
        <v>2</v>
      </c>
      <c r="P28" s="9"/>
      <c r="Q28" s="9"/>
      <c r="R28" s="9"/>
      <c r="S28" s="9"/>
      <c r="T28" s="9"/>
      <c r="U28" s="9"/>
      <c r="V28" s="9"/>
    </row>
    <row r="29" spans="1:22" ht="12.75" customHeight="1">
      <c r="A29" s="109">
        <v>17</v>
      </c>
      <c r="B29" s="110" t="e">
        <f>IF(OR(RIGHT(C29,7)="content",ISBLANK(C29)),"",IF(FormType="Online",VLOOKUP($A29,FormCoreSchemes,2,0),VLOOKUP($A29,FormCoreSchemes,5,0)))</f>
        <v>#NAME?</v>
      </c>
      <c r="C29" s="111" t="e">
        <f>IF(FormType="Online",VLOOKUP($A29,FormCoreSchemes,3,0),VLOOKUP($A29,FormCoreSchemes,6,0))</f>
        <v>#NAME?</v>
      </c>
      <c r="D29" s="110" t="e">
        <f>IF(FormType="Online",VLOOKUP($A29,FormCoreSchemes,4,0),VLOOKUP($A29,FormCoreSchemes,7,0))</f>
        <v>#NAME?</v>
      </c>
      <c r="E29" s="110" t="e">
        <f t="shared" si="8"/>
        <v>#NAME?</v>
      </c>
      <c r="F29" s="112" t="e">
        <f t="shared" si="7"/>
        <v>#NAME?</v>
      </c>
      <c r="G29" s="112" t="e">
        <f t="shared" si="6"/>
        <v>#NAME?</v>
      </c>
      <c r="H29" s="112" t="e">
        <f t="shared" si="5"/>
        <v>#NAME?</v>
      </c>
      <c r="I29" s="112" t="e">
        <f t="shared" si="4"/>
        <v>#NAME?</v>
      </c>
      <c r="J29" s="112" t="e">
        <f t="shared" si="3"/>
        <v>#NAME?</v>
      </c>
      <c r="K29" s="136" t="e">
        <f t="shared" si="0"/>
        <v>#NAME?</v>
      </c>
      <c r="L29" s="134" t="s">
        <v>76</v>
      </c>
      <c r="M29" s="130" t="e">
        <f>IF(L29="","",IF(L29="None",0,IF(COUNTIF(FatalErrorList,L29)&gt;0,FELabel,HLOOKUP(L29,formblock,$A29+1,0))))</f>
        <v>#NAME?</v>
      </c>
      <c r="N29" s="135" t="e">
        <f t="shared" si="1"/>
        <v>#NAME?</v>
      </c>
      <c r="O29" s="132">
        <v>1</v>
      </c>
      <c r="P29" s="9"/>
      <c r="Q29" s="9"/>
      <c r="R29" s="9"/>
      <c r="S29" s="9"/>
      <c r="T29" s="9"/>
      <c r="U29" s="9"/>
      <c r="V29" s="9"/>
    </row>
    <row r="30" spans="1:22" ht="12.75" customHeight="1">
      <c r="A30" s="105">
        <v>18</v>
      </c>
      <c r="B30" s="106" t="e">
        <f>IF(OR(RIGHT(C30,7)="content",ISBLANK(C30)),"",IF(FormType="Online",VLOOKUP($A30,FormCoreSchemes,2,0),VLOOKUP($A30,FormCoreSchemes,5,0)))</f>
        <v>#NAME?</v>
      </c>
      <c r="C30" s="107" t="e">
        <f>IF(FormType="Online",VLOOKUP($A30,FormCoreSchemes,3,0),VLOOKUP($A30,FormCoreSchemes,6,0))</f>
        <v>#NAME?</v>
      </c>
      <c r="D30" s="106" t="e">
        <f>IF(FormType="Online",VLOOKUP($A30,FormCoreSchemes,4,0),VLOOKUP($A30,FormCoreSchemes,7,0))</f>
        <v>#NAME?</v>
      </c>
      <c r="E30" s="106" t="e">
        <f t="shared" si="8"/>
        <v>#NAME?</v>
      </c>
      <c r="F30" s="108" t="e">
        <f t="shared" si="7"/>
        <v>#NAME?</v>
      </c>
      <c r="G30" s="108" t="e">
        <f t="shared" si="6"/>
        <v>#NAME?</v>
      </c>
      <c r="H30" s="108" t="e">
        <f t="shared" si="5"/>
        <v>#NAME?</v>
      </c>
      <c r="I30" s="108" t="e">
        <f t="shared" si="4"/>
        <v>#NAME?</v>
      </c>
      <c r="J30" s="108" t="e">
        <f t="shared" si="3"/>
        <v>#NAME?</v>
      </c>
      <c r="K30" s="133" t="e">
        <f t="shared" si="0"/>
        <v>#NAME?</v>
      </c>
      <c r="L30" s="134" t="s">
        <v>76</v>
      </c>
      <c r="M30" s="130" t="e">
        <f>IF(L30="","",IF(L30="None",0,IF(COUNTIF(FatalErrorList,L30)&gt;0,FELabel,HLOOKUP(L30,formblock,$A30+1,0))))</f>
        <v>#NAME?</v>
      </c>
      <c r="N30" s="135" t="e">
        <f t="shared" si="1"/>
        <v>#NAME?</v>
      </c>
      <c r="O30" s="132">
        <v>2</v>
      </c>
      <c r="P30" s="9"/>
      <c r="Q30" s="9"/>
      <c r="R30" s="9"/>
      <c r="S30" s="9"/>
      <c r="T30" s="9"/>
      <c r="U30" s="9"/>
      <c r="V30" s="9"/>
    </row>
    <row r="31" spans="1:22" ht="12.75" customHeight="1">
      <c r="A31" s="109">
        <v>19</v>
      </c>
      <c r="B31" s="110" t="e">
        <f>IF(OR(RIGHT(C31,7)="content",ISBLANK(C31)),"",IF(FormType="Online",VLOOKUP($A31,FormCoreSchemes,2,0),VLOOKUP($A31,FormCoreSchemes,5,0)))</f>
        <v>#NAME?</v>
      </c>
      <c r="C31" s="111" t="e">
        <f>IF(FormType="Online",VLOOKUP($A31,FormCoreSchemes,3,0),VLOOKUP($A31,FormCoreSchemes,6,0))</f>
        <v>#NAME?</v>
      </c>
      <c r="D31" s="110" t="e">
        <f>IF(FormType="Online",VLOOKUP($A31,FormCoreSchemes,4,0),VLOOKUP($A31,FormCoreSchemes,7,0))</f>
        <v>#NAME?</v>
      </c>
      <c r="E31" s="110" t="e">
        <f t="shared" si="8"/>
        <v>#NAME?</v>
      </c>
      <c r="F31" s="112" t="e">
        <f t="shared" si="7"/>
        <v>#NAME?</v>
      </c>
      <c r="G31" s="112" t="e">
        <f t="shared" si="6"/>
        <v>#NAME?</v>
      </c>
      <c r="H31" s="112" t="e">
        <f t="shared" si="5"/>
        <v>#NAME?</v>
      </c>
      <c r="I31" s="112" t="e">
        <f t="shared" si="4"/>
        <v>#NAME?</v>
      </c>
      <c r="J31" s="112" t="e">
        <f t="shared" si="3"/>
        <v>#NAME?</v>
      </c>
      <c r="K31" s="136" t="e">
        <f t="shared" si="0"/>
        <v>#NAME?</v>
      </c>
      <c r="L31" s="134" t="s">
        <v>76</v>
      </c>
      <c r="M31" s="130" t="e">
        <f>IF(L31="","",IF(L31="None",0,IF(COUNTIF(FatalErrorList,L31)&gt;0,FELabel,HLOOKUP(L31,formblock,$A31+1,0))))</f>
        <v>#NAME?</v>
      </c>
      <c r="N31" s="135" t="e">
        <f t="shared" si="1"/>
        <v>#NAME?</v>
      </c>
      <c r="O31" s="132">
        <v>1</v>
      </c>
      <c r="P31" s="9"/>
      <c r="Q31" s="9"/>
      <c r="R31" s="9"/>
      <c r="S31" s="9"/>
      <c r="T31" s="9"/>
      <c r="U31" s="9"/>
      <c r="V31" s="9"/>
    </row>
    <row r="32" spans="1:22" ht="12.75" customHeight="1">
      <c r="A32" s="105">
        <v>20</v>
      </c>
      <c r="B32" s="106" t="e">
        <f>IF(OR(RIGHT(C32,7)="content",ISBLANK(C32)),"",IF(FormType="Online",VLOOKUP($A32,FormCoreSchemes,2,0),VLOOKUP($A32,FormCoreSchemes,5,0)))</f>
        <v>#NAME?</v>
      </c>
      <c r="C32" s="107" t="e">
        <f>IF(FormType="Online",VLOOKUP($A32,FormCoreSchemes,3,0),VLOOKUP($A32,FormCoreSchemes,6,0))</f>
        <v>#NAME?</v>
      </c>
      <c r="D32" s="106" t="e">
        <f>IF(FormType="Online",VLOOKUP($A32,FormCoreSchemes,4,0),VLOOKUP($A32,FormCoreSchemes,7,0))</f>
        <v>#NAME?</v>
      </c>
      <c r="E32" s="106" t="e">
        <f t="shared" si="8"/>
        <v>#NAME?</v>
      </c>
      <c r="F32" s="108" t="e">
        <f t="shared" si="7"/>
        <v>#NAME?</v>
      </c>
      <c r="G32" s="108" t="e">
        <f t="shared" si="6"/>
        <v>#NAME?</v>
      </c>
      <c r="H32" s="108" t="e">
        <f t="shared" si="5"/>
        <v>#NAME?</v>
      </c>
      <c r="I32" s="108" t="e">
        <f t="shared" si="4"/>
        <v>#NAME?</v>
      </c>
      <c r="J32" s="108" t="e">
        <f t="shared" si="3"/>
        <v>#NAME?</v>
      </c>
      <c r="K32" s="133" t="e">
        <f t="shared" si="0"/>
        <v>#NAME?</v>
      </c>
      <c r="L32" s="134" t="s">
        <v>76</v>
      </c>
      <c r="M32" s="130" t="e">
        <f>IF(L32="","",IF(L32="None",0,IF(COUNTIF(FatalErrorList,L32)&gt;0,FELabel,HLOOKUP(L32,formblock,$A32+1,0))))</f>
        <v>#NAME?</v>
      </c>
      <c r="N32" s="135" t="e">
        <f t="shared" si="1"/>
        <v>#NAME?</v>
      </c>
      <c r="O32" s="132">
        <v>2</v>
      </c>
      <c r="P32" s="9"/>
      <c r="Q32" s="9"/>
      <c r="R32" s="9"/>
      <c r="S32" s="9"/>
      <c r="T32" s="9"/>
      <c r="U32" s="9"/>
      <c r="V32" s="9"/>
    </row>
    <row r="33" spans="1:22" ht="12.75" customHeight="1">
      <c r="A33" s="109">
        <v>21</v>
      </c>
      <c r="B33" s="110" t="e">
        <f>IF(OR(RIGHT(C33,7)="content",ISBLANK(C33)),"",IF(FormType="Online",VLOOKUP($A33,FormCoreSchemes,2,0),VLOOKUP($A33,FormCoreSchemes,5,0)))</f>
        <v>#NAME?</v>
      </c>
      <c r="C33" s="111" t="s">
        <v>78</v>
      </c>
      <c r="D33" s="111" t="s">
        <v>79</v>
      </c>
      <c r="E33" s="110" t="str">
        <f t="shared" si="8"/>
        <v>d</v>
      </c>
      <c r="F33" s="112" t="str">
        <f t="shared" si="7"/>
        <v/>
      </c>
      <c r="G33" s="112">
        <f t="shared" si="6"/>
        <v>6</v>
      </c>
      <c r="H33" s="112" t="str">
        <f t="shared" si="5"/>
        <v/>
      </c>
      <c r="I33" s="112">
        <f t="shared" si="4"/>
        <v>0</v>
      </c>
      <c r="J33" s="112">
        <f t="shared" si="3"/>
        <v>0</v>
      </c>
      <c r="K33" s="136">
        <f t="shared" si="0"/>
        <v>6</v>
      </c>
      <c r="L33" s="134" t="s">
        <v>76</v>
      </c>
      <c r="M33" s="130" t="e">
        <f>IF(L33="","",IF(L33="None",0,IF(COUNTIF(FatalErrorList,L33)&gt;0,FELabel,HLOOKUP(L33,formblock,$A33+1,0))))</f>
        <v>#NAME?</v>
      </c>
      <c r="N33" s="135">
        <f t="shared" si="1"/>
        <v>6</v>
      </c>
      <c r="O33" s="132">
        <v>1</v>
      </c>
      <c r="P33" s="9"/>
      <c r="Q33" s="9"/>
      <c r="R33" s="9"/>
      <c r="S33" s="9"/>
      <c r="T33" s="9"/>
      <c r="U33" s="9"/>
      <c r="V33" s="9"/>
    </row>
    <row r="34" spans="1:22" ht="12.75" customHeight="1">
      <c r="A34" s="105">
        <v>22</v>
      </c>
      <c r="B34" s="106" t="e">
        <f>IF(OR(RIGHT(C34,7)="content",ISBLANK(C34)),"",IF(FormType="Online",VLOOKUP($A34,FormCoreSchemes,2,0),VLOOKUP($A34,FormCoreSchemes,5,0)))</f>
        <v>#NAME?</v>
      </c>
      <c r="C34" s="107" t="s">
        <v>80</v>
      </c>
      <c r="D34" s="107" t="s">
        <v>79</v>
      </c>
      <c r="E34" s="106" t="str">
        <f t="shared" si="8"/>
        <v>d</v>
      </c>
      <c r="F34" s="108" t="str">
        <f t="shared" si="7"/>
        <v/>
      </c>
      <c r="G34" s="108">
        <f t="shared" si="6"/>
        <v>6</v>
      </c>
      <c r="H34" s="108" t="str">
        <f t="shared" si="5"/>
        <v/>
      </c>
      <c r="I34" s="108">
        <f t="shared" si="4"/>
        <v>0</v>
      </c>
      <c r="J34" s="108">
        <f t="shared" si="3"/>
        <v>0</v>
      </c>
      <c r="K34" s="133">
        <f t="shared" si="0"/>
        <v>6</v>
      </c>
      <c r="L34" s="134" t="s">
        <v>76</v>
      </c>
      <c r="M34" s="130" t="e">
        <f>IF(L34="","",IF(L34="None",0,IF(COUNTIF(FatalErrorList,L34)&gt;0,FELabel,HLOOKUP(L34,formblock,$A34+1,0))))</f>
        <v>#NAME?</v>
      </c>
      <c r="N34" s="135">
        <f t="shared" si="1"/>
        <v>6</v>
      </c>
      <c r="O34" s="132">
        <v>2</v>
      </c>
      <c r="P34" s="9"/>
      <c r="Q34" s="9"/>
      <c r="R34" s="9"/>
      <c r="S34" s="9"/>
      <c r="T34" s="9"/>
      <c r="U34" s="9"/>
      <c r="V34" s="9"/>
    </row>
    <row r="35" spans="1:22" ht="12.75" customHeight="1">
      <c r="A35" s="109">
        <v>23</v>
      </c>
      <c r="B35" s="110" t="str">
        <f>IF(OR(RIGHT(C35,7)="content",ISBLANK(C35)),"",IF(FormType="Online",VLOOKUP($A35,FormCoreSchemes,2,0),VLOOKUP($A35,FormCoreSchemes,5,0)))</f>
        <v/>
      </c>
      <c r="C35" s="113"/>
      <c r="D35" s="111"/>
      <c r="E35" s="110" t="str">
        <f t="shared" si="8"/>
        <v/>
      </c>
      <c r="F35" s="112" t="str">
        <f t="shared" si="7"/>
        <v/>
      </c>
      <c r="G35" s="112" t="str">
        <f t="shared" si="6"/>
        <v/>
      </c>
      <c r="H35" s="112" t="str">
        <f t="shared" si="5"/>
        <v/>
      </c>
      <c r="I35" s="112" t="str">
        <f t="shared" si="4"/>
        <v/>
      </c>
      <c r="J35" s="112" t="str">
        <f t="shared" si="3"/>
        <v/>
      </c>
      <c r="K35" s="136" t="str">
        <f t="shared" si="0"/>
        <v/>
      </c>
      <c r="L35" s="134"/>
      <c r="M35" s="130" t="str">
        <f>IF(L35="","",IF(L35="None",0,IF(COUNTIF(FatalErrorList,L35)&gt;0,FELabel,HLOOKUP(L35,formblock,$A35+1,0))))</f>
        <v/>
      </c>
      <c r="N35" s="135" t="str">
        <f t="shared" si="1"/>
        <v/>
      </c>
      <c r="O35" s="132">
        <v>1</v>
      </c>
      <c r="P35" s="9"/>
      <c r="Q35" s="9"/>
      <c r="R35" s="9"/>
      <c r="S35" s="9"/>
      <c r="T35" s="9"/>
      <c r="U35" s="9"/>
      <c r="V35" s="9"/>
    </row>
    <row r="36" spans="1:22" ht="12.75" customHeight="1">
      <c r="A36" s="105">
        <v>24</v>
      </c>
      <c r="B36" s="106" t="str">
        <f>IF(OR(RIGHT(C36,7)="content",ISBLANK(C36)),"",IF(FormType="Online",VLOOKUP($A36,FormCoreSchemes,2,0),VLOOKUP($A36,FormCoreSchemes,5,0)))</f>
        <v/>
      </c>
      <c r="C36" s="107"/>
      <c r="D36" s="107"/>
      <c r="E36" s="106" t="str">
        <f t="shared" si="8"/>
        <v/>
      </c>
      <c r="F36" s="108" t="str">
        <f t="shared" si="7"/>
        <v/>
      </c>
      <c r="G36" s="108" t="str">
        <f t="shared" si="6"/>
        <v/>
      </c>
      <c r="H36" s="108" t="str">
        <f t="shared" si="5"/>
        <v/>
      </c>
      <c r="I36" s="108" t="str">
        <f t="shared" si="4"/>
        <v/>
      </c>
      <c r="J36" s="108" t="str">
        <f t="shared" si="3"/>
        <v/>
      </c>
      <c r="K36" s="133" t="str">
        <f t="shared" si="0"/>
        <v/>
      </c>
      <c r="L36" s="134"/>
      <c r="M36" s="130" t="str">
        <f>IF(L36="","",IF(L36="None",0,IF(COUNTIF(FatalErrorList,L36)&gt;0,FELabel,HLOOKUP(L36,formblock,$A36+1,0))))</f>
        <v/>
      </c>
      <c r="N36" s="135" t="str">
        <f t="shared" si="1"/>
        <v/>
      </c>
      <c r="O36" s="132">
        <v>2</v>
      </c>
      <c r="P36" s="9"/>
      <c r="Q36" s="9"/>
      <c r="R36" s="9"/>
      <c r="S36" s="9"/>
      <c r="T36" s="9"/>
      <c r="U36" s="9"/>
      <c r="V36" s="9"/>
    </row>
    <row r="37" spans="1:22" ht="12.75" customHeight="1">
      <c r="A37" s="109">
        <v>25</v>
      </c>
      <c r="B37" s="110" t="str">
        <f>IF(OR(RIGHT(C37,7)="content",ISBLANK(C37)),"",IF(FormType="Online",VLOOKUP($A37,FormCoreSchemes,2,0),VLOOKUP($A37,FormCoreSchemes,5,0)))</f>
        <v/>
      </c>
      <c r="C37" s="111"/>
      <c r="D37" s="111"/>
      <c r="E37" s="110" t="str">
        <f t="shared" si="8"/>
        <v/>
      </c>
      <c r="F37" s="112" t="str">
        <f t="shared" si="7"/>
        <v/>
      </c>
      <c r="G37" s="112" t="str">
        <f t="shared" si="6"/>
        <v/>
      </c>
      <c r="H37" s="112" t="str">
        <f t="shared" si="5"/>
        <v/>
      </c>
      <c r="I37" s="112" t="str">
        <f t="shared" si="4"/>
        <v/>
      </c>
      <c r="J37" s="112" t="str">
        <f t="shared" si="3"/>
        <v/>
      </c>
      <c r="K37" s="136" t="str">
        <f t="shared" si="0"/>
        <v/>
      </c>
      <c r="L37" s="134"/>
      <c r="M37" s="130" t="str">
        <f>IF(L37="","",IF(L37="None",0,IF(COUNTIF(FatalErrorList,L37)&gt;0,FELabel,HLOOKUP(L37,formblock,$A37+1,0))))</f>
        <v/>
      </c>
      <c r="N37" s="135" t="str">
        <f t="shared" si="1"/>
        <v/>
      </c>
      <c r="O37" s="132">
        <v>1</v>
      </c>
      <c r="P37" s="9"/>
      <c r="Q37" s="9"/>
      <c r="R37" s="9"/>
      <c r="S37" s="9"/>
      <c r="T37" s="9"/>
      <c r="U37" s="9"/>
      <c r="V37" s="9"/>
    </row>
    <row r="38" spans="1:22" ht="12.75" customHeight="1">
      <c r="A38" s="105">
        <v>26</v>
      </c>
      <c r="B38" s="106" t="str">
        <f>IF(OR(RIGHT(C38,7)="content",ISBLANK(C38)),"",IF(FormType="Online",VLOOKUP($A38,FormCoreSchemes,2,0),VLOOKUP($A38,FormCoreSchemes,5,0)))</f>
        <v/>
      </c>
      <c r="C38" s="107"/>
      <c r="D38" s="107"/>
      <c r="E38" s="106" t="str">
        <f t="shared" si="8"/>
        <v/>
      </c>
      <c r="F38" s="108" t="str">
        <f t="shared" si="7"/>
        <v/>
      </c>
      <c r="G38" s="108" t="str">
        <f t="shared" si="6"/>
        <v/>
      </c>
      <c r="H38" s="108" t="str">
        <f t="shared" si="5"/>
        <v/>
      </c>
      <c r="I38" s="108" t="str">
        <f t="shared" si="4"/>
        <v/>
      </c>
      <c r="J38" s="108" t="str">
        <f t="shared" si="3"/>
        <v/>
      </c>
      <c r="K38" s="133" t="str">
        <f t="shared" si="0"/>
        <v/>
      </c>
      <c r="L38" s="134"/>
      <c r="M38" s="130" t="str">
        <f>IF(L38="","",IF(L38="None",0,IF(COUNTIF(FatalErrorList,L38)&gt;0,FELabel,HLOOKUP(L38,formblock,$A38+1,0))))</f>
        <v/>
      </c>
      <c r="N38" s="135" t="str">
        <f t="shared" si="1"/>
        <v/>
      </c>
      <c r="O38" s="132">
        <v>2</v>
      </c>
      <c r="P38" s="9"/>
      <c r="Q38" s="9"/>
      <c r="R38" s="9"/>
      <c r="S38" s="9"/>
      <c r="T38" s="9"/>
      <c r="U38" s="9"/>
      <c r="V38" s="9"/>
    </row>
    <row r="39" spans="1:22" ht="12.75" customHeight="1">
      <c r="A39" s="109">
        <v>27</v>
      </c>
      <c r="B39" s="110" t="str">
        <f>IF(OR(RIGHT(C39,7)="content",ISBLANK(C39)),"",IF(FormType="Online",VLOOKUP($A39,FormCoreSchemes,2,0),VLOOKUP($A39,FormCoreSchemes,5,0)))</f>
        <v/>
      </c>
      <c r="C39" s="111"/>
      <c r="D39" s="111"/>
      <c r="E39" s="110" t="str">
        <f t="shared" si="8"/>
        <v/>
      </c>
      <c r="F39" s="112" t="str">
        <f t="shared" si="7"/>
        <v/>
      </c>
      <c r="G39" s="112" t="str">
        <f t="shared" si="6"/>
        <v/>
      </c>
      <c r="H39" s="112" t="str">
        <f t="shared" si="5"/>
        <v/>
      </c>
      <c r="I39" s="112" t="str">
        <f t="shared" si="4"/>
        <v/>
      </c>
      <c r="J39" s="112" t="str">
        <f t="shared" si="3"/>
        <v/>
      </c>
      <c r="K39" s="136" t="str">
        <f t="shared" si="0"/>
        <v/>
      </c>
      <c r="L39" s="134"/>
      <c r="M39" s="130" t="str">
        <f>IF(L39="","",IF(L39="None",0,IF(COUNTIF(FatalErrorList,L39)&gt;0,FELabel,HLOOKUP(L39,formblock,$A39+1,0))))</f>
        <v/>
      </c>
      <c r="N39" s="135" t="str">
        <f t="shared" si="1"/>
        <v/>
      </c>
      <c r="O39" s="132">
        <v>1</v>
      </c>
      <c r="P39" s="9"/>
      <c r="Q39" s="9"/>
      <c r="R39" s="9"/>
      <c r="S39" s="9"/>
      <c r="T39" s="9"/>
      <c r="U39" s="9"/>
      <c r="V39" s="9"/>
    </row>
    <row r="40" spans="1:22" ht="12.75" customHeight="1">
      <c r="A40" s="105">
        <v>28</v>
      </c>
      <c r="B40" s="106" t="str">
        <f>IF(OR(RIGHT(C40,7)="content",ISBLANK(C40)),"",IF(FormType="Online",VLOOKUP($A40,FormCoreSchemes,2,0),VLOOKUP($A40,FormCoreSchemes,5,0)))</f>
        <v/>
      </c>
      <c r="C40" s="107"/>
      <c r="D40" s="107"/>
      <c r="E40" s="106" t="str">
        <f t="shared" si="8"/>
        <v/>
      </c>
      <c r="F40" s="108" t="str">
        <f t="shared" si="7"/>
        <v/>
      </c>
      <c r="G40" s="108" t="str">
        <f t="shared" si="6"/>
        <v/>
      </c>
      <c r="H40" s="108" t="str">
        <f t="shared" si="5"/>
        <v/>
      </c>
      <c r="I40" s="108" t="str">
        <f t="shared" si="4"/>
        <v/>
      </c>
      <c r="J40" s="108" t="str">
        <f t="shared" si="3"/>
        <v/>
      </c>
      <c r="K40" s="133" t="str">
        <f t="shared" si="0"/>
        <v/>
      </c>
      <c r="L40" s="134"/>
      <c r="M40" s="130" t="str">
        <f>IF(L40="","",IF(L40="None",0,IF(COUNTIF(FatalErrorList,L40)&gt;0,FELabel,HLOOKUP(L40,formblock,$A40+1,0))))</f>
        <v/>
      </c>
      <c r="N40" s="135" t="str">
        <f t="shared" si="1"/>
        <v/>
      </c>
      <c r="O40" s="132">
        <v>2</v>
      </c>
      <c r="P40" s="9"/>
      <c r="Q40" s="9"/>
      <c r="R40" s="9"/>
      <c r="S40" s="9"/>
      <c r="T40" s="9"/>
      <c r="U40" s="9"/>
      <c r="V40" s="9"/>
    </row>
    <row r="41" spans="1:22" ht="12.75" customHeight="1">
      <c r="A41" s="109">
        <v>29</v>
      </c>
      <c r="B41" s="110" t="str">
        <f>IF(OR(RIGHT(C41,7)="content",ISBLANK(C41)),"",IF(FormType="Online",VLOOKUP($A41,FormCoreSchemes,2,0),VLOOKUP($A41,FormCoreSchemes,5,0)))</f>
        <v/>
      </c>
      <c r="C41" s="111"/>
      <c r="D41" s="111"/>
      <c r="E41" s="110" t="str">
        <f t="shared" si="8"/>
        <v/>
      </c>
      <c r="F41" s="112" t="str">
        <f t="shared" si="7"/>
        <v/>
      </c>
      <c r="G41" s="112" t="str">
        <f t="shared" si="6"/>
        <v/>
      </c>
      <c r="H41" s="112" t="str">
        <f t="shared" si="5"/>
        <v/>
      </c>
      <c r="I41" s="112" t="str">
        <f t="shared" si="4"/>
        <v/>
      </c>
      <c r="J41" s="112" t="str">
        <f t="shared" si="3"/>
        <v/>
      </c>
      <c r="K41" s="136" t="str">
        <f t="shared" si="0"/>
        <v/>
      </c>
      <c r="L41" s="134"/>
      <c r="M41" s="130" t="str">
        <f>IF(L41="","",IF(L41="None",0,IF(COUNTIF(FatalErrorList,L41)&gt;0,FELabel,HLOOKUP(L41,formblock,$A41+1,0))))</f>
        <v/>
      </c>
      <c r="N41" s="135" t="str">
        <f t="shared" si="1"/>
        <v/>
      </c>
      <c r="O41" s="132">
        <v>1</v>
      </c>
      <c r="P41" s="9"/>
      <c r="Q41" s="9"/>
      <c r="R41" s="9"/>
      <c r="S41" s="9"/>
      <c r="T41" s="9"/>
      <c r="U41" s="9"/>
      <c r="V41" s="9"/>
    </row>
    <row r="42" spans="1:22" ht="12.75" customHeight="1">
      <c r="A42" s="105">
        <v>30</v>
      </c>
      <c r="B42" s="106" t="str">
        <f>IF(OR(RIGHT(C42,7)="content",ISBLANK(C42)),"",IF(FormType="Online",VLOOKUP($A42,FormCoreSchemes,2,0),VLOOKUP($A42,FormCoreSchemes,5,0)))</f>
        <v/>
      </c>
      <c r="C42" s="107"/>
      <c r="D42" s="107"/>
      <c r="E42" s="106" t="str">
        <f t="shared" si="8"/>
        <v/>
      </c>
      <c r="F42" s="108" t="str">
        <f t="shared" si="7"/>
        <v/>
      </c>
      <c r="G42" s="108" t="str">
        <f t="shared" si="6"/>
        <v/>
      </c>
      <c r="H42" s="108" t="str">
        <f t="shared" si="5"/>
        <v/>
      </c>
      <c r="I42" s="108" t="str">
        <f t="shared" si="4"/>
        <v/>
      </c>
      <c r="J42" s="108" t="str">
        <f t="shared" si="3"/>
        <v/>
      </c>
      <c r="K42" s="133" t="str">
        <f t="shared" si="0"/>
        <v/>
      </c>
      <c r="L42" s="134"/>
      <c r="M42" s="130" t="str">
        <f>IF(L42="","",IF(L42="None",0,IF(COUNTIF(FatalErrorList,L42)&gt;0,FELabel,HLOOKUP(L42,formblock,$A42+1,0))))</f>
        <v/>
      </c>
      <c r="N42" s="135" t="str">
        <f t="shared" si="1"/>
        <v/>
      </c>
      <c r="O42" s="132">
        <v>2</v>
      </c>
      <c r="P42" s="9"/>
      <c r="Q42" s="9"/>
      <c r="R42" s="9"/>
      <c r="S42" s="9"/>
      <c r="T42" s="9"/>
      <c r="U42" s="9"/>
      <c r="V42" s="9"/>
    </row>
    <row r="43" spans="1:22" ht="12.75" customHeight="1">
      <c r="A43" s="115" t="s">
        <v>81</v>
      </c>
      <c r="B43" s="116" t="s">
        <v>81</v>
      </c>
      <c r="C43" s="116" t="s">
        <v>81</v>
      </c>
      <c r="D43" s="116" t="s">
        <v>81</v>
      </c>
      <c r="E43" s="116"/>
      <c r="F43" s="116" t="s">
        <v>81</v>
      </c>
      <c r="G43" s="116" t="s">
        <v>81</v>
      </c>
      <c r="H43" s="116" t="s">
        <v>81</v>
      </c>
      <c r="I43" s="116" t="s">
        <v>81</v>
      </c>
      <c r="J43" s="116" t="s">
        <v>81</v>
      </c>
      <c r="K43" s="137" t="s">
        <v>81</v>
      </c>
      <c r="L43" s="116" t="s">
        <v>81</v>
      </c>
      <c r="M43" s="116" t="s">
        <v>81</v>
      </c>
      <c r="N43" s="116" t="s">
        <v>81</v>
      </c>
      <c r="O43" s="132"/>
      <c r="P43" s="9"/>
      <c r="Q43" s="9"/>
      <c r="R43" s="9"/>
      <c r="S43" s="9"/>
      <c r="T43" s="9"/>
      <c r="U43" s="9"/>
      <c r="V43" s="9"/>
    </row>
    <row r="44" spans="1:22" ht="12.75" customHeight="1">
      <c r="A44" s="309"/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9"/>
      <c r="M44" s="9"/>
      <c r="N44" s="9"/>
      <c r="O44" s="132"/>
      <c r="P44" s="9"/>
      <c r="Q44" s="9"/>
      <c r="R44" s="9"/>
      <c r="S44" s="9"/>
      <c r="T44" s="9"/>
      <c r="U44" s="9"/>
      <c r="V44" s="9"/>
    </row>
    <row r="45" spans="1:22" ht="12.75" customHeight="1">
      <c r="A45" s="309"/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12.75" customHeight="1">
      <c r="A46" s="309"/>
      <c r="B46" s="309"/>
      <c r="C46" s="309"/>
      <c r="D46" s="309"/>
      <c r="E46" s="309"/>
      <c r="F46" s="309"/>
      <c r="G46" s="309"/>
      <c r="H46" s="309"/>
      <c r="I46" s="309"/>
      <c r="J46" s="309"/>
      <c r="K46" s="30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12.75" customHeight="1">
      <c r="A47" s="309"/>
      <c r="B47" s="309"/>
      <c r="C47" s="309"/>
      <c r="D47" s="309"/>
      <c r="E47" s="309"/>
      <c r="F47" s="309"/>
      <c r="G47" s="309"/>
      <c r="H47" s="309"/>
      <c r="I47" s="309"/>
      <c r="J47" s="309"/>
      <c r="K47" s="30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12.75" customHeight="1">
      <c r="A48" s="309"/>
      <c r="B48" s="309"/>
      <c r="C48" s="309"/>
      <c r="D48" s="309"/>
      <c r="E48" s="309"/>
      <c r="F48" s="309"/>
      <c r="G48" s="309"/>
      <c r="H48" s="309"/>
      <c r="I48" s="309"/>
      <c r="J48" s="309"/>
      <c r="K48" s="30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2:22" ht="12.75" customHeight="1"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2:22" ht="12.75" customHeight="1"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2:22" ht="12.75" customHeight="1"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2:22" ht="12.75" customHeight="1"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2:22" ht="12.75" customHeight="1"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2:22" ht="12.75" customHeight="1"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2:22" ht="12.75" customHeight="1"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2:22" ht="12.75" customHeight="1"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2:22" ht="12.75" customHeight="1"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2:22" ht="12.75" customHeight="1"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2:22" ht="12.75" customHeight="1"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2:22" ht="12.75" customHeight="1"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2:22" ht="12.75" customHeight="1"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2:22" ht="12.75" customHeight="1"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2:22" ht="12.75" customHeight="1"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2:22" ht="12.75" customHeight="1"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2:22" ht="12.75" customHeight="1"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2:22" ht="12.75" customHeight="1"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2:22" ht="12.75" customHeight="1"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2:22" ht="12.75" customHeight="1"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2:22" ht="12.75" customHeight="1"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2:22" ht="12.75" customHeight="1"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2:22" ht="12.75" customHeight="1"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2:22" ht="12.75" customHeight="1"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2:22" ht="12.75" customHeight="1"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2:22" ht="12.75" customHeight="1"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2:22" ht="12.75" customHeight="1"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2:22" ht="12.75" customHeight="1"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2:22" ht="12.75" customHeight="1"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2:22" ht="12.75" customHeight="1"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2:22" ht="12.75" customHeight="1"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2:22" ht="12.75" customHeight="1"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2:22" ht="12.75" customHeight="1"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2:22" ht="12.75" customHeight="1"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2:22" ht="12.75" customHeight="1"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2:22" ht="12.75" customHeight="1"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2:22" ht="12.75" customHeight="1"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2:22" ht="12.75" customHeight="1"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2:22" ht="12.75" customHeight="1"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2:22" ht="12.75" customHeight="1"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2:22" ht="12.75" customHeight="1"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2:22" ht="12.75" customHeight="1"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2:22" ht="12.75" customHeight="1"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2:22" ht="12.75" customHeight="1"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2:22" ht="12.75" customHeight="1"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2:22" ht="12.75" customHeight="1"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2:22" ht="12.75" customHeight="1"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2:22" ht="12.75" customHeight="1"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2:22" ht="12.75" customHeight="1"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2:22" ht="12.75" customHeight="1"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2:22" ht="12.75" customHeight="1"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2:22" ht="12.75" customHeight="1"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2:22" ht="12.75" customHeight="1"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2:22" ht="12.75" customHeight="1"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2:22" ht="12.75" customHeight="1"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2:22" ht="12.75" customHeight="1"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2:22" ht="12.75" customHeight="1"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2:22" ht="12.75" customHeight="1"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2:22" ht="12.75" customHeight="1"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2:22" ht="12.75" customHeight="1"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2:22" ht="12.75" customHeight="1"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2:22" ht="12.75" customHeight="1"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2:22" ht="12.75" customHeight="1"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2:22" ht="12.75" customHeight="1"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2:22" ht="12.75" customHeight="1"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2:22" ht="12.75" customHeight="1"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2:22" ht="12.75" customHeight="1"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2:22" ht="12.75" customHeight="1"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2:22" ht="12.75" customHeight="1"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2:22" ht="12.75" customHeight="1"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2:22" ht="12.75" customHeight="1"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2:22" ht="12.75" customHeight="1"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2:22" ht="12.75" customHeight="1"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2:22" ht="12.75" customHeight="1"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2:22" ht="12.75" customHeight="1"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2:22" ht="12.75" customHeight="1"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2:22" ht="12.75" customHeight="1"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2:22" ht="12.75" customHeight="1"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2:22" ht="12.75" customHeight="1"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2:22" ht="12.75" customHeight="1"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2:22" ht="12.75" customHeight="1"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2:22" ht="12.75" customHeight="1"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2:22" ht="12.75" customHeight="1"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2:22" ht="12.75" customHeight="1"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2:22" ht="12.75" customHeight="1"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2:22" ht="12.75" customHeight="1"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2:22" ht="12.75" customHeight="1"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2:22" ht="12.75" customHeight="1"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2:22" ht="12.75" customHeight="1"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2:22" ht="12.75" customHeight="1"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2:22" ht="12.75" customHeight="1"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2:22" ht="12.75" customHeight="1"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2:22" ht="12.75" customHeight="1"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2:22" ht="12.75" customHeight="1"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2:22" ht="12.75" customHeight="1"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2:22" ht="12.75" customHeight="1"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2:22" ht="12.75" customHeight="1"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2:22" ht="12.75" customHeight="1"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2:22" ht="12.75" customHeight="1"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2:22" ht="12.75" customHeight="1"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2:22" ht="12.75" customHeight="1"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2:22" ht="12.75" customHeight="1"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2:22" ht="12.75" customHeight="1"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2:22" ht="12.75" customHeight="1"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2:22" ht="12.75" customHeight="1"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2:22" ht="12.75" customHeight="1"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2:22" ht="12.75" customHeight="1"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2:22" ht="12.75" customHeight="1"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2:22" ht="12.75" customHeight="1"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2:22" ht="12.75" customHeight="1"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2:22" ht="12.75" customHeight="1"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2:22" ht="12.75" customHeight="1"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2:22" ht="12.75" customHeight="1"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2:22" ht="12.75" customHeight="1"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2:22" ht="12.75" customHeight="1"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2:22" ht="12.75" customHeight="1"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2:22" ht="12.75" customHeight="1"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2:22" ht="12.75" customHeight="1"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2:22" ht="12.75" customHeight="1"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2:22" ht="12.75" customHeight="1"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2:22" ht="12.75" customHeight="1"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2:22" ht="12.75" customHeight="1"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2:22" ht="12.75" customHeight="1"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2:22" ht="12.75" customHeight="1"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2:22" ht="12.75" customHeight="1"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2:22" ht="12.75" customHeight="1"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2:22" ht="12.75" customHeight="1"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2:22" ht="12.75" customHeight="1"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2:22" ht="12.75" customHeight="1"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2:22" ht="12.75" customHeight="1"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2:22" ht="12.75" customHeight="1"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2:22" ht="12.75" customHeight="1"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2:22" ht="12.75" customHeight="1"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2:22" ht="12.75" customHeight="1"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2:22" ht="12.75" customHeight="1"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2:22" ht="12.75" customHeight="1"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2:22" ht="12.75" customHeight="1"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2:22" ht="12.75" customHeight="1"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2:22" ht="12.75" customHeight="1"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2:22" ht="12.75" customHeight="1"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2:22" ht="12.75" customHeight="1"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2:22" ht="12.75" customHeight="1"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2:22" ht="12.75" customHeight="1"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2:22" ht="12.75" customHeight="1"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2:22" ht="12.75" customHeight="1"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2:22" ht="12.75" customHeight="1"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2:22" ht="12.75" customHeight="1"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2:22" ht="12.75" customHeight="1"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2:22" ht="12.75" customHeight="1"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2:22" ht="12.75" customHeight="1"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2:22" ht="12.75" customHeight="1"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2:22" ht="12.75" customHeight="1"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2:22" ht="12.75" customHeight="1"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2:22" ht="12.75" customHeight="1"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2:22" ht="12.75" customHeight="1"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2:22" ht="12.75" customHeight="1"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2:22" ht="12.75" customHeight="1"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2:22" ht="12.75" customHeight="1"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2:22" ht="12.75" customHeight="1"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2:22" ht="12.75" customHeight="1"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2:22" ht="12.75" customHeight="1"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2:22" ht="12.75" customHeight="1"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2:22" ht="12.75" customHeight="1"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2:22" ht="12.75" customHeight="1"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2:22" ht="12.75" customHeight="1"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2:22" ht="12.75" customHeight="1"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2:22" ht="12.75" customHeight="1"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2:22" ht="12.75" customHeight="1"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2:22" ht="12.75" customHeight="1"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2:22" ht="12.75" customHeight="1"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2:22" ht="12.75" customHeight="1"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2:22" ht="12.75" customHeight="1"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2:22" ht="12.75" customHeight="1"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2:22" ht="12.75" customHeight="1"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2:22" ht="12.75" customHeight="1"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2:22" ht="12.75" customHeight="1"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2:22" ht="12.75" customHeight="1"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2:22" ht="12.75" customHeight="1"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2:22" ht="12.75" customHeight="1"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2:22" ht="12.75" customHeight="1"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2:22" ht="12.75" customHeight="1"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2:22" ht="12.75" customHeight="1"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2:22" ht="12.75" customHeight="1"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2:22" ht="12.75" customHeight="1"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2:22" ht="12.75" customHeight="1"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2:22" ht="12.75" customHeight="1"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2:22" ht="12.75" customHeight="1"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2:22" ht="12.75" customHeight="1"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2:22" ht="12.75" customHeight="1"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2:22" ht="12.75" customHeight="1"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2:22" ht="12.75" customHeight="1"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2:22" ht="12.75" customHeight="1"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2:22" ht="12.75" customHeight="1"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2:22" ht="12.75" customHeight="1"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2:22" ht="12.75" customHeight="1"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2:22" ht="15.75" customHeight="1">
      <c r="L244" s="309"/>
      <c r="M244" s="309"/>
      <c r="N244" s="309"/>
      <c r="O244" s="309"/>
      <c r="P244" s="309"/>
      <c r="Q244" s="309"/>
      <c r="R244" s="309"/>
      <c r="S244" s="309"/>
      <c r="T244" s="309"/>
      <c r="U244" s="309"/>
      <c r="V244" s="309"/>
    </row>
    <row r="245" spans="12:22" ht="15.75" customHeight="1">
      <c r="L245" s="309"/>
      <c r="M245" s="309"/>
      <c r="N245" s="309"/>
      <c r="O245" s="309"/>
      <c r="P245" s="309"/>
      <c r="Q245" s="309"/>
      <c r="R245" s="309"/>
      <c r="S245" s="309"/>
      <c r="T245" s="309"/>
      <c r="U245" s="309"/>
      <c r="V245" s="309"/>
    </row>
    <row r="246" spans="12:22" ht="15.75" customHeight="1">
      <c r="L246" s="309"/>
      <c r="M246" s="309"/>
      <c r="N246" s="309"/>
      <c r="O246" s="309"/>
      <c r="P246" s="309"/>
      <c r="Q246" s="309"/>
      <c r="R246" s="309"/>
      <c r="S246" s="309"/>
      <c r="T246" s="309"/>
      <c r="U246" s="309"/>
      <c r="V246" s="309"/>
    </row>
    <row r="247" spans="12:22" ht="15.75" customHeight="1">
      <c r="L247" s="309"/>
      <c r="M247" s="309"/>
      <c r="N247" s="309"/>
      <c r="O247" s="309"/>
      <c r="P247" s="309"/>
      <c r="Q247" s="309"/>
      <c r="R247" s="309"/>
      <c r="S247" s="309"/>
      <c r="T247" s="309"/>
      <c r="U247" s="309"/>
      <c r="V247" s="309"/>
    </row>
    <row r="248" spans="12:22" ht="15.75" customHeight="1">
      <c r="L248" s="309"/>
      <c r="M248" s="309"/>
      <c r="N248" s="309"/>
      <c r="O248" s="309"/>
      <c r="P248" s="309"/>
      <c r="Q248" s="309"/>
      <c r="R248" s="309"/>
      <c r="S248" s="309"/>
      <c r="T248" s="309"/>
      <c r="U248" s="309"/>
      <c r="V248" s="309"/>
    </row>
    <row r="249" spans="12:22" ht="15.75" customHeight="1">
      <c r="L249" s="309"/>
      <c r="M249" s="309"/>
      <c r="N249" s="309"/>
      <c r="O249" s="309"/>
      <c r="P249" s="309"/>
      <c r="Q249" s="309"/>
      <c r="R249" s="309"/>
      <c r="S249" s="309"/>
      <c r="T249" s="309"/>
      <c r="U249" s="309"/>
      <c r="V249" s="309"/>
    </row>
    <row r="250" spans="12:22" ht="15.75" customHeight="1">
      <c r="L250" s="309"/>
      <c r="M250" s="309"/>
      <c r="N250" s="309"/>
      <c r="O250" s="309"/>
      <c r="P250" s="309"/>
      <c r="Q250" s="309"/>
      <c r="R250" s="309"/>
      <c r="S250" s="309"/>
      <c r="T250" s="309"/>
      <c r="U250" s="309"/>
      <c r="V250" s="309"/>
    </row>
    <row r="251" spans="12:22" ht="15.75" customHeight="1">
      <c r="L251" s="309"/>
      <c r="M251" s="309"/>
      <c r="N251" s="309"/>
      <c r="O251" s="309"/>
      <c r="P251" s="309"/>
      <c r="Q251" s="309"/>
      <c r="R251" s="309"/>
      <c r="S251" s="309"/>
      <c r="T251" s="309"/>
      <c r="U251" s="309"/>
      <c r="V251" s="309"/>
    </row>
    <row r="252" spans="12:22" ht="15.75" customHeight="1">
      <c r="L252" s="309"/>
      <c r="M252" s="309"/>
      <c r="N252" s="309"/>
      <c r="O252" s="309"/>
      <c r="P252" s="309"/>
      <c r="Q252" s="309"/>
      <c r="R252" s="309"/>
      <c r="S252" s="309"/>
      <c r="T252" s="309"/>
      <c r="U252" s="309"/>
      <c r="V252" s="309"/>
    </row>
    <row r="253" spans="12:22" ht="15.75" customHeight="1">
      <c r="L253" s="309"/>
      <c r="M253" s="309"/>
      <c r="N253" s="309"/>
      <c r="O253" s="309"/>
      <c r="P253" s="309"/>
      <c r="Q253" s="309"/>
      <c r="R253" s="309"/>
      <c r="S253" s="309"/>
      <c r="T253" s="309"/>
      <c r="U253" s="309"/>
      <c r="V253" s="309"/>
    </row>
    <row r="254" spans="12:22" ht="15.75" customHeight="1">
      <c r="L254" s="309"/>
      <c r="M254" s="309"/>
      <c r="N254" s="309"/>
      <c r="O254" s="309"/>
      <c r="P254" s="309"/>
      <c r="Q254" s="309"/>
      <c r="R254" s="309"/>
      <c r="S254" s="309"/>
      <c r="T254" s="309"/>
      <c r="U254" s="309"/>
      <c r="V254" s="309"/>
    </row>
    <row r="255" spans="12:22" ht="15.75" customHeight="1">
      <c r="L255" s="309"/>
      <c r="M255" s="309"/>
      <c r="N255" s="309"/>
      <c r="O255" s="309"/>
      <c r="P255" s="309"/>
      <c r="Q255" s="309"/>
      <c r="R255" s="309"/>
      <c r="S255" s="309"/>
      <c r="T255" s="309"/>
      <c r="U255" s="309"/>
      <c r="V255" s="309"/>
    </row>
    <row r="256" spans="12:22" ht="15.75" customHeight="1">
      <c r="L256" s="309"/>
      <c r="M256" s="309"/>
      <c r="N256" s="309"/>
      <c r="O256" s="309"/>
      <c r="P256" s="309"/>
      <c r="Q256" s="309"/>
      <c r="R256" s="309"/>
      <c r="S256" s="309"/>
      <c r="T256" s="309"/>
      <c r="U256" s="309"/>
      <c r="V256" s="309"/>
    </row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2:D43" xr:uid="{00000000-0009-0000-0000-00000E000000}"/>
  <mergeCells count="5">
    <mergeCell ref="A1:B1"/>
    <mergeCell ref="A2:B2"/>
    <mergeCell ref="L8:N8"/>
    <mergeCell ref="F1:G2"/>
    <mergeCell ref="F3:G4"/>
  </mergeCells>
  <dataValidations count="3">
    <dataValidation type="list" allowBlank="1" showErrorMessage="1" sqref="C1" xr:uid="{00000000-0002-0000-0E00-000000000000}">
      <formula1>DeptList</formula1>
    </dataValidation>
    <dataValidation type="list" allowBlank="1" showErrorMessage="1" sqref="B38:B42" xr:uid="{00000000-0002-0000-0E00-000001000000}">
      <formula1>SectionCd</formula1>
    </dataValidation>
    <dataValidation type="list" allowBlank="1" showErrorMessage="1" sqref="L13:L42" xr:uid="{00000000-0002-0000-0E00-000002000000}">
      <formula1>IF($E13="b",respB,IF($E13="d",respD,IF($E13="f",respF,IF($E13="z",FatalErrorList,respH))))</formula1>
    </dataValidation>
  </dataValidations>
  <pageMargins left="0.37916666666666698" right="0.2" top="1" bottom="1" header="0" footer="0"/>
  <pageSetup scale="5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98007"/>
  </sheetPr>
  <dimension ref="A1:BP1000"/>
  <sheetViews>
    <sheetView workbookViewId="0">
      <pane ySplit="2" topLeftCell="A3" activePane="bottomLeft" state="frozen"/>
      <selection pane="bottomLeft" activeCell="B4" sqref="B4"/>
    </sheetView>
  </sheetViews>
  <sheetFormatPr defaultColWidth="14.44140625" defaultRowHeight="15" customHeight="1"/>
  <cols>
    <col min="1" max="1" width="9.109375" customWidth="1"/>
    <col min="2" max="2" width="20.6640625" customWidth="1"/>
    <col min="3" max="6" width="6.33203125" customWidth="1"/>
    <col min="7" max="7" width="8.5546875" customWidth="1"/>
    <col min="8" max="8" width="5.88671875" customWidth="1"/>
    <col min="9" max="10" width="7.44140625" customWidth="1"/>
    <col min="11" max="12" width="6.44140625" customWidth="1"/>
    <col min="13" max="14" width="7.44140625" customWidth="1"/>
    <col min="15" max="16" width="6.44140625" customWidth="1"/>
    <col min="17" max="17" width="19.33203125" customWidth="1"/>
    <col min="18" max="18" width="6.109375" customWidth="1"/>
    <col min="19" max="20" width="12" customWidth="1"/>
    <col min="21" max="23" width="13.5546875" customWidth="1"/>
    <col min="24" max="24" width="13.109375" customWidth="1"/>
    <col min="25" max="30" width="2.6640625" hidden="1" customWidth="1"/>
    <col min="31" max="31" width="11" customWidth="1"/>
    <col min="32" max="32" width="11.5546875" customWidth="1"/>
    <col min="33" max="33" width="29.6640625" customWidth="1"/>
    <col min="34" max="34" width="12.5546875" customWidth="1"/>
    <col min="35" max="35" width="9.109375" customWidth="1"/>
    <col min="36" max="36" width="14.109375" customWidth="1"/>
    <col min="37" max="40" width="9.109375" customWidth="1"/>
    <col min="41" max="41" width="11.44140625" customWidth="1"/>
    <col min="42" max="42" width="13.33203125" customWidth="1"/>
    <col min="43" max="43" width="11" customWidth="1"/>
    <col min="44" max="46" width="9.109375" customWidth="1"/>
    <col min="47" max="47" width="17.44140625" customWidth="1"/>
    <col min="48" max="52" width="9.109375" customWidth="1"/>
    <col min="53" max="53" width="10.109375" customWidth="1"/>
    <col min="54" max="54" width="13.44140625" customWidth="1"/>
    <col min="55" max="55" width="8.5546875" customWidth="1"/>
    <col min="56" max="56" width="9.109375" customWidth="1"/>
    <col min="57" max="57" width="13.6640625" customWidth="1"/>
    <col min="58" max="58" width="9.109375" customWidth="1"/>
    <col min="59" max="59" width="11.5546875" customWidth="1"/>
    <col min="60" max="60" width="9.109375" customWidth="1"/>
    <col min="61" max="61" width="11.5546875" customWidth="1"/>
    <col min="62" max="63" width="9.109375" customWidth="1"/>
    <col min="64" max="64" width="63" customWidth="1"/>
    <col min="65" max="65" width="17.44140625" customWidth="1"/>
    <col min="66" max="66" width="9.109375" customWidth="1"/>
    <col min="67" max="67" width="63" customWidth="1"/>
    <col min="68" max="68" width="16.109375" customWidth="1"/>
  </cols>
  <sheetData>
    <row r="1" spans="1:68" ht="12.75" customHeight="1">
      <c r="A1" s="10"/>
      <c r="B1" s="441" t="s">
        <v>82</v>
      </c>
      <c r="C1" s="442"/>
      <c r="D1" s="318" t="s">
        <v>83</v>
      </c>
      <c r="E1" s="318" t="s">
        <v>84</v>
      </c>
      <c r="F1" s="11" t="s">
        <v>85</v>
      </c>
      <c r="G1" s="12" t="s">
        <v>72</v>
      </c>
      <c r="H1" s="8"/>
      <c r="I1" s="443" t="s">
        <v>86</v>
      </c>
      <c r="J1" s="436"/>
      <c r="K1" s="436"/>
      <c r="L1" s="436"/>
      <c r="M1" s="436"/>
      <c r="N1" s="436"/>
      <c r="O1" s="436"/>
      <c r="P1" s="436"/>
      <c r="Q1" s="28" t="s">
        <v>87</v>
      </c>
      <c r="R1" s="28"/>
      <c r="S1" s="28"/>
      <c r="T1" s="28"/>
      <c r="U1" s="28"/>
      <c r="V1" s="28"/>
      <c r="W1" s="28"/>
      <c r="X1" s="28"/>
      <c r="Y1" s="33"/>
      <c r="Z1" s="33"/>
      <c r="AA1" s="33"/>
      <c r="AB1" s="33"/>
      <c r="AC1" s="33"/>
      <c r="AD1" s="33"/>
      <c r="AE1" s="34"/>
      <c r="AF1" s="34"/>
      <c r="AG1" s="34" t="s">
        <v>88</v>
      </c>
      <c r="AH1" s="34"/>
      <c r="AI1" s="34"/>
      <c r="AJ1" s="34"/>
      <c r="AK1" s="34"/>
      <c r="AL1" s="34"/>
      <c r="AM1" s="42" t="s">
        <v>89</v>
      </c>
      <c r="AN1" s="43"/>
      <c r="AO1" s="309" t="s">
        <v>90</v>
      </c>
      <c r="AP1" s="309"/>
      <c r="AQ1" s="9" t="s">
        <v>91</v>
      </c>
      <c r="AR1" s="309"/>
      <c r="AS1" s="51" t="s">
        <v>92</v>
      </c>
      <c r="AT1" s="52"/>
      <c r="AU1" s="53" t="s">
        <v>93</v>
      </c>
      <c r="AV1" s="54" t="s">
        <v>94</v>
      </c>
      <c r="AW1" s="307"/>
      <c r="AX1" s="306" t="s">
        <v>95</v>
      </c>
      <c r="AY1" s="307"/>
      <c r="AZ1" s="63" t="s">
        <v>96</v>
      </c>
      <c r="BA1" s="64"/>
      <c r="BB1" s="65" t="s">
        <v>97</v>
      </c>
      <c r="BC1" s="66"/>
      <c r="BD1" s="309"/>
      <c r="BE1" s="309"/>
      <c r="BF1" s="309"/>
      <c r="BG1" s="309"/>
      <c r="BH1" s="309"/>
      <c r="BI1" s="309"/>
      <c r="BJ1" s="444" t="s">
        <v>98</v>
      </c>
      <c r="BK1" s="436"/>
      <c r="BL1" s="436"/>
      <c r="BM1" s="436"/>
      <c r="BN1" s="436"/>
      <c r="BO1" s="436"/>
      <c r="BP1" s="436"/>
    </row>
    <row r="2" spans="1:68" ht="12.75" customHeight="1">
      <c r="A2" s="13"/>
      <c r="B2" s="11"/>
      <c r="C2" s="14"/>
      <c r="D2" s="11"/>
      <c r="E2" s="11"/>
      <c r="F2" s="11">
        <f>COUNTA(B:B)-1</f>
        <v>10</v>
      </c>
      <c r="G2" s="8"/>
      <c r="H2" s="8"/>
      <c r="I2" s="20" t="s">
        <v>99</v>
      </c>
      <c r="J2" s="21" t="s">
        <v>100</v>
      </c>
      <c r="K2" s="21" t="s">
        <v>101</v>
      </c>
      <c r="L2" s="21" t="s">
        <v>102</v>
      </c>
      <c r="M2" s="21" t="s">
        <v>103</v>
      </c>
      <c r="N2" s="21" t="s">
        <v>104</v>
      </c>
      <c r="O2" s="21" t="s">
        <v>105</v>
      </c>
      <c r="P2" s="21" t="s">
        <v>106</v>
      </c>
      <c r="Q2" s="29" t="s">
        <v>107</v>
      </c>
      <c r="R2" s="30" t="s">
        <v>108</v>
      </c>
      <c r="S2" s="30" t="s">
        <v>109</v>
      </c>
      <c r="T2" s="30" t="s">
        <v>110</v>
      </c>
      <c r="U2" s="30" t="s">
        <v>70</v>
      </c>
      <c r="V2" s="30" t="s">
        <v>111</v>
      </c>
      <c r="W2" s="30" t="s">
        <v>112</v>
      </c>
      <c r="X2" s="30" t="s">
        <v>113</v>
      </c>
      <c r="Y2" s="30" t="s">
        <v>114</v>
      </c>
      <c r="Z2" s="35" t="s">
        <v>115</v>
      </c>
      <c r="AA2" s="35" t="s">
        <v>116</v>
      </c>
      <c r="AB2" s="35" t="s">
        <v>117</v>
      </c>
      <c r="AC2" s="35" t="s">
        <v>118</v>
      </c>
      <c r="AD2" s="35" t="s">
        <v>119</v>
      </c>
      <c r="AE2" s="36" t="s">
        <v>120</v>
      </c>
      <c r="AF2" s="36" t="s">
        <v>108</v>
      </c>
      <c r="AG2" s="36" t="s">
        <v>121</v>
      </c>
      <c r="AH2" s="36" t="s">
        <v>122</v>
      </c>
      <c r="AI2" s="36" t="s">
        <v>123</v>
      </c>
      <c r="AJ2" s="36" t="s">
        <v>124</v>
      </c>
      <c r="AK2" s="36" t="s">
        <v>125</v>
      </c>
      <c r="AL2" s="44" t="s">
        <v>126</v>
      </c>
      <c r="AM2" s="45"/>
      <c r="AN2" s="46" t="s">
        <v>127</v>
      </c>
      <c r="AO2" s="445" t="s">
        <v>128</v>
      </c>
      <c r="AP2" s="436"/>
      <c r="AQ2" s="436"/>
      <c r="AR2" s="436"/>
      <c r="AS2" s="55"/>
      <c r="AT2" s="56" t="s">
        <v>129</v>
      </c>
      <c r="AU2" s="53"/>
      <c r="AV2" s="308"/>
      <c r="AW2" s="310" t="s">
        <v>130</v>
      </c>
      <c r="AX2" s="9"/>
      <c r="AY2" s="310" t="s">
        <v>131</v>
      </c>
      <c r="AZ2" s="308" t="s">
        <v>132</v>
      </c>
      <c r="BA2" s="9"/>
      <c r="BB2" s="67"/>
      <c r="BC2" s="68"/>
      <c r="BD2" s="69" t="s">
        <v>133</v>
      </c>
      <c r="BE2" s="75" t="s">
        <v>134</v>
      </c>
      <c r="BF2" s="76"/>
      <c r="BG2" s="75" t="s">
        <v>135</v>
      </c>
      <c r="BH2" s="76"/>
      <c r="BI2" s="77" t="s">
        <v>136</v>
      </c>
      <c r="BJ2" s="309"/>
      <c r="BK2" s="446" t="s">
        <v>137</v>
      </c>
      <c r="BL2" s="436"/>
      <c r="BM2" s="436"/>
      <c r="BN2" s="447" t="s">
        <v>138</v>
      </c>
      <c r="BO2" s="436"/>
      <c r="BP2" s="436"/>
    </row>
    <row r="3" spans="1:68" ht="12.75" customHeight="1">
      <c r="A3" s="13" t="s">
        <v>139</v>
      </c>
      <c r="B3" s="11" t="e">
        <f>IF(IF(FormType="Online",VLOOKUP($A3,SectionsCodes,2,0),VLOOKUP($A3,SectionsCodes,4,0))=0,"",IF(FormType="Online",VLOOKUP($A3,SectionsCodes,2,0),VLOOKUP($A3,SectionsCodes,4,0)))</f>
        <v>#NAME?</v>
      </c>
      <c r="C3" s="14" t="e">
        <f>IF(IF(FormType="Online",VLOOKUP($A3,SectionsCodes,3,0),VLOOKUP($A3,SectionsCodes,5,0))=0,"",IF(FormType="Online",VLOOKUP($A3,SectionsCodes,3,0),VLOOKUP($A3,SectionsCodes,5,0)))</f>
        <v>#NAME?</v>
      </c>
      <c r="D3" s="11" t="e">
        <f>COUNTIF(#REF!,$C3)</f>
        <v>#REF!</v>
      </c>
      <c r="E3" s="11">
        <v>0</v>
      </c>
      <c r="F3" s="15">
        <v>0.15</v>
      </c>
      <c r="G3" s="8" t="s">
        <v>140</v>
      </c>
      <c r="H3" s="8" t="s">
        <v>141</v>
      </c>
      <c r="I3" s="22" t="str">
        <f t="shared" ref="I3:J3" si="0">IF($H3="","",$H3)</f>
        <v>Exceed</v>
      </c>
      <c r="J3" s="22" t="str">
        <f t="shared" si="0"/>
        <v>Exceed</v>
      </c>
      <c r="K3" s="23"/>
      <c r="L3" s="23"/>
      <c r="M3" s="22" t="str">
        <f t="shared" ref="M3:N3" si="1">IF($H3="","",$H3)</f>
        <v>Exceed</v>
      </c>
      <c r="N3" s="22" t="str">
        <f t="shared" si="1"/>
        <v>Exceed</v>
      </c>
      <c r="O3" s="23"/>
      <c r="P3" s="23"/>
      <c r="Q3" s="9" t="str">
        <f t="shared" ref="Q3:Q30" si="2">T3</f>
        <v>AROC</v>
      </c>
      <c r="R3" s="31">
        <v>1</v>
      </c>
      <c r="S3" s="31" t="s">
        <v>142</v>
      </c>
      <c r="T3" s="31" t="s">
        <v>143</v>
      </c>
      <c r="U3" s="9" t="s">
        <v>144</v>
      </c>
      <c r="V3" s="9" t="s">
        <v>145</v>
      </c>
      <c r="W3" s="9" t="s">
        <v>146</v>
      </c>
      <c r="X3" s="9" t="s">
        <v>147</v>
      </c>
      <c r="Y3" s="9" t="s">
        <v>147</v>
      </c>
      <c r="Z3" s="37"/>
      <c r="AA3" s="37"/>
      <c r="AB3" s="37"/>
      <c r="AC3" s="37"/>
      <c r="AD3" s="37"/>
      <c r="AE3" s="38" t="str">
        <f t="shared" ref="AE3:AE104" si="3">AG3</f>
        <v>Global Template</v>
      </c>
      <c r="AF3" s="39" t="s">
        <v>148</v>
      </c>
      <c r="AG3" s="39" t="s">
        <v>149</v>
      </c>
      <c r="AH3" s="39" t="s">
        <v>137</v>
      </c>
      <c r="AI3" s="39" t="s">
        <v>144</v>
      </c>
      <c r="AJ3" s="39" t="s">
        <v>150</v>
      </c>
      <c r="AK3" s="39" t="s">
        <v>151</v>
      </c>
      <c r="AL3" s="47" t="s">
        <v>152</v>
      </c>
      <c r="AM3" s="48">
        <v>1</v>
      </c>
      <c r="AN3" s="297" t="s">
        <v>153</v>
      </c>
      <c r="AO3" s="57">
        <v>40160</v>
      </c>
      <c r="AP3" s="57">
        <f t="shared" ref="AP3:AP135" si="4">AO3+6</f>
        <v>40166</v>
      </c>
      <c r="AQ3" s="57">
        <v>51</v>
      </c>
      <c r="AR3" s="57" t="str">
        <f t="shared" ref="AR3:AR135" si="5">IF(AQ3&gt;=10,CONCATENATE(YEAR(AO3),"w",AQ3),CONCATENATE(YEAR(AO3),"w0",AQ3))</f>
        <v>2009w51</v>
      </c>
      <c r="AS3" s="58">
        <v>1</v>
      </c>
      <c r="AT3" s="298" t="s">
        <v>153</v>
      </c>
      <c r="AU3" s="59" t="s">
        <v>154</v>
      </c>
      <c r="AV3" s="308" t="s">
        <v>155</v>
      </c>
      <c r="AW3" s="310" t="s">
        <v>156</v>
      </c>
      <c r="AX3" s="9" t="s">
        <v>145</v>
      </c>
      <c r="AY3" s="310" t="s">
        <v>157</v>
      </c>
      <c r="AZ3" s="70">
        <v>1</v>
      </c>
      <c r="BA3" s="9" t="s">
        <v>158</v>
      </c>
      <c r="BB3" s="67" t="s">
        <v>159</v>
      </c>
      <c r="BC3" s="68" t="e">
        <f>MAX(Evals)-COUNTIF(#REF!,"#N/A")</f>
        <v>#NAME?</v>
      </c>
      <c r="BD3" s="69" t="s">
        <v>139</v>
      </c>
      <c r="BE3" s="75" t="s">
        <v>160</v>
      </c>
      <c r="BF3" s="76" t="s">
        <v>161</v>
      </c>
      <c r="BG3" s="75" t="s">
        <v>162</v>
      </c>
      <c r="BH3" s="76" t="s">
        <v>163</v>
      </c>
      <c r="BI3" s="77" t="str">
        <f>VLOOKUP(FormNm,Param!$AE$3:$AL$104,4,0)</f>
        <v>Online</v>
      </c>
      <c r="BJ3" s="78" t="s">
        <v>9</v>
      </c>
      <c r="BK3" s="79" t="s">
        <v>68</v>
      </c>
      <c r="BL3" s="79" t="s">
        <v>47</v>
      </c>
      <c r="BM3" s="79" t="s">
        <v>69</v>
      </c>
      <c r="BN3" s="79" t="s">
        <v>68</v>
      </c>
      <c r="BO3" s="79" t="s">
        <v>47</v>
      </c>
      <c r="BP3" s="79" t="s">
        <v>69</v>
      </c>
    </row>
    <row r="4" spans="1:68" ht="12.75" customHeight="1">
      <c r="A4" s="13" t="s">
        <v>164</v>
      </c>
      <c r="B4" s="11" t="e">
        <f>IF(IF(FormType="Online",VLOOKUP($A4,SectionsCodes,2,0),VLOOKUP($A4,SectionsCodes,4,0))=0,"",IF(FormType="Online",VLOOKUP($A4,SectionsCodes,2,0),VLOOKUP($A4,SectionsCodes,4,0)))</f>
        <v>#NAME?</v>
      </c>
      <c r="C4" s="14" t="e">
        <f>IF(IF(FormType="Online",VLOOKUP($A4,SectionsCodes,3,0),VLOOKUP($A4,SectionsCodes,5,0))=0,"",IF(FormType="Online",VLOOKUP($A4,SectionsCodes,3,0),VLOOKUP($A4,SectionsCodes,5,0)))</f>
        <v>#NAME?</v>
      </c>
      <c r="D4" s="11" t="e">
        <f>COUNTIF(#REF!,$C4)</f>
        <v>#REF!</v>
      </c>
      <c r="E4" s="11" t="e">
        <f t="shared" ref="E4:E6" si="6">D3+E3</f>
        <v>#REF!</v>
      </c>
      <c r="F4" s="15">
        <v>0.45</v>
      </c>
      <c r="G4" s="8" t="s">
        <v>76</v>
      </c>
      <c r="H4" s="8" t="s">
        <v>76</v>
      </c>
      <c r="I4" s="22" t="str">
        <f t="shared" ref="I4:P4" si="7">IF($H4="","",$H4)</f>
        <v>Yes</v>
      </c>
      <c r="J4" s="22" t="str">
        <f t="shared" si="7"/>
        <v>Yes</v>
      </c>
      <c r="K4" s="22" t="str">
        <f t="shared" si="7"/>
        <v>Yes</v>
      </c>
      <c r="L4" s="22" t="str">
        <f t="shared" si="7"/>
        <v>Yes</v>
      </c>
      <c r="M4" s="22" t="str">
        <f t="shared" si="7"/>
        <v>Yes</v>
      </c>
      <c r="N4" s="22" t="str">
        <f t="shared" si="7"/>
        <v>Yes</v>
      </c>
      <c r="O4" s="22" t="str">
        <f t="shared" si="7"/>
        <v>Yes</v>
      </c>
      <c r="P4" s="22" t="str">
        <f t="shared" si="7"/>
        <v>Yes</v>
      </c>
      <c r="Q4" s="9" t="str">
        <f t="shared" si="2"/>
        <v>EUROC</v>
      </c>
      <c r="R4" s="31">
        <v>2</v>
      </c>
      <c r="S4" s="31" t="s">
        <v>165</v>
      </c>
      <c r="T4" s="31" t="s">
        <v>166</v>
      </c>
      <c r="U4" s="9" t="s">
        <v>144</v>
      </c>
      <c r="V4" s="9" t="s">
        <v>145</v>
      </c>
      <c r="W4" s="9" t="s">
        <v>167</v>
      </c>
      <c r="X4" s="9" t="s">
        <v>168</v>
      </c>
      <c r="Y4" s="9" t="s">
        <v>168</v>
      </c>
      <c r="Z4" s="37"/>
      <c r="AA4" s="37"/>
      <c r="AB4" s="37"/>
      <c r="AC4" s="37"/>
      <c r="AD4" s="37"/>
      <c r="AE4" s="38" t="str">
        <f t="shared" si="3"/>
        <v>Agent Support</v>
      </c>
      <c r="AF4" s="40" t="s">
        <v>153</v>
      </c>
      <c r="AG4" s="40" t="s">
        <v>169</v>
      </c>
      <c r="AH4" s="40" t="s">
        <v>137</v>
      </c>
      <c r="AI4" s="40" t="s">
        <v>144</v>
      </c>
      <c r="AJ4" s="40" t="s">
        <v>150</v>
      </c>
      <c r="AK4" s="40" t="s">
        <v>170</v>
      </c>
      <c r="AL4" s="49" t="s">
        <v>171</v>
      </c>
      <c r="AM4" s="48">
        <v>2</v>
      </c>
      <c r="AN4" s="297" t="s">
        <v>172</v>
      </c>
      <c r="AO4" s="57">
        <f t="shared" ref="AO4:AO135" si="8">AP3+1</f>
        <v>40167</v>
      </c>
      <c r="AP4" s="57">
        <f t="shared" si="4"/>
        <v>40173</v>
      </c>
      <c r="AQ4" s="57">
        <v>52</v>
      </c>
      <c r="AR4" s="57" t="str">
        <f t="shared" si="5"/>
        <v>2009w52</v>
      </c>
      <c r="AS4" s="58">
        <v>2</v>
      </c>
      <c r="AT4" s="298" t="s">
        <v>172</v>
      </c>
      <c r="AU4" s="59" t="s">
        <v>76</v>
      </c>
      <c r="AV4" s="308" t="s">
        <v>173</v>
      </c>
      <c r="AW4" s="310" t="s">
        <v>174</v>
      </c>
      <c r="AX4" s="312" t="s">
        <v>175</v>
      </c>
      <c r="AY4" s="313" t="s">
        <v>176</v>
      </c>
      <c r="AZ4" s="311" t="str">
        <f>IF(AZ3=0,BA3,BA4)</f>
        <v>Zero</v>
      </c>
      <c r="BA4" s="312" t="s">
        <v>64</v>
      </c>
      <c r="BB4" s="67" t="s">
        <v>177</v>
      </c>
      <c r="BC4" s="68" t="e">
        <f>COUNTIF(MonthCol,MIN(MonthCol))</f>
        <v>#NAME?</v>
      </c>
      <c r="BD4" s="71" t="s">
        <v>164</v>
      </c>
      <c r="BE4" s="80" t="s">
        <v>178</v>
      </c>
      <c r="BF4" s="81" t="s">
        <v>179</v>
      </c>
      <c r="BG4" s="80" t="s">
        <v>178</v>
      </c>
      <c r="BH4" s="81" t="s">
        <v>179</v>
      </c>
      <c r="BI4" s="309"/>
      <c r="BJ4" s="82">
        <v>1</v>
      </c>
      <c r="BK4" s="83" t="s">
        <v>161</v>
      </c>
      <c r="BL4" s="62" t="s">
        <v>180</v>
      </c>
      <c r="BM4" s="62" t="s">
        <v>181</v>
      </c>
      <c r="BN4" s="83" t="s">
        <v>163</v>
      </c>
      <c r="BO4" s="62" t="s">
        <v>182</v>
      </c>
      <c r="BP4" s="62" t="s">
        <v>183</v>
      </c>
    </row>
    <row r="5" spans="1:68" ht="12.75" customHeight="1">
      <c r="A5" s="13" t="s">
        <v>184</v>
      </c>
      <c r="B5" s="11" t="e">
        <f>IF(IF(FormType="Online",VLOOKUP($A5,SectionsCodes,2,0),VLOOKUP($A5,SectionsCodes,4,0))=0,"",IF(FormType="Online",VLOOKUP($A5,SectionsCodes,2,0),VLOOKUP($A5,SectionsCodes,4,0)))</f>
        <v>#NAME?</v>
      </c>
      <c r="C5" s="14" t="e">
        <f>IF(IF(FormType="Online",VLOOKUP($A5,SectionsCodes,3,0),VLOOKUP($A5,SectionsCodes,5,0))=0,"",IF(FormType="Online",VLOOKUP($A5,SectionsCodes,3,0),VLOOKUP($A5,SectionsCodes,5,0)))</f>
        <v>#NAME?</v>
      </c>
      <c r="D5" s="11" t="e">
        <f>COUNTIF(#REF!,$C5)</f>
        <v>#REF!</v>
      </c>
      <c r="E5" s="11" t="e">
        <f t="shared" si="6"/>
        <v>#REF!</v>
      </c>
      <c r="F5" s="15">
        <v>0.15</v>
      </c>
      <c r="G5" s="8"/>
      <c r="H5" s="8"/>
      <c r="I5" s="22" t="str">
        <f t="shared" ref="I5:P5" si="9">IF($H5="","",$H5)</f>
        <v/>
      </c>
      <c r="J5" s="22" t="str">
        <f t="shared" si="9"/>
        <v/>
      </c>
      <c r="K5" s="22" t="str">
        <f t="shared" si="9"/>
        <v/>
      </c>
      <c r="L5" s="22" t="str">
        <f t="shared" si="9"/>
        <v/>
      </c>
      <c r="M5" s="22" t="str">
        <f t="shared" si="9"/>
        <v/>
      </c>
      <c r="N5" s="22" t="str">
        <f t="shared" si="9"/>
        <v/>
      </c>
      <c r="O5" s="22" t="str">
        <f t="shared" si="9"/>
        <v/>
      </c>
      <c r="P5" s="22" t="str">
        <f t="shared" si="9"/>
        <v/>
      </c>
      <c r="Q5" s="9" t="str">
        <f t="shared" si="2"/>
        <v>LAROC</v>
      </c>
      <c r="R5" s="31">
        <v>3</v>
      </c>
      <c r="S5" s="31" t="s">
        <v>185</v>
      </c>
      <c r="T5" s="31" t="s">
        <v>186</v>
      </c>
      <c r="U5" s="9" t="s">
        <v>144</v>
      </c>
      <c r="V5" s="9" t="s">
        <v>145</v>
      </c>
      <c r="W5" s="9" t="s">
        <v>187</v>
      </c>
      <c r="X5" s="9" t="s">
        <v>188</v>
      </c>
      <c r="Y5" s="9" t="s">
        <v>188</v>
      </c>
      <c r="Z5" s="41"/>
      <c r="AA5" s="41"/>
      <c r="AB5" s="41"/>
      <c r="AC5" s="41"/>
      <c r="AD5" s="41"/>
      <c r="AE5" s="38" t="str">
        <f t="shared" si="3"/>
        <v>APAC</v>
      </c>
      <c r="AF5" s="39" t="s">
        <v>172</v>
      </c>
      <c r="AG5" s="39" t="s">
        <v>189</v>
      </c>
      <c r="AH5" s="39" t="s">
        <v>137</v>
      </c>
      <c r="AI5" s="39" t="s">
        <v>144</v>
      </c>
      <c r="AJ5" s="39" t="s">
        <v>189</v>
      </c>
      <c r="AK5" s="39" t="s">
        <v>151</v>
      </c>
      <c r="AL5" s="47" t="s">
        <v>152</v>
      </c>
      <c r="AM5" s="48">
        <v>3</v>
      </c>
      <c r="AN5" s="297" t="s">
        <v>190</v>
      </c>
      <c r="AO5" s="57">
        <f t="shared" si="8"/>
        <v>40174</v>
      </c>
      <c r="AP5" s="57">
        <f t="shared" si="4"/>
        <v>40180</v>
      </c>
      <c r="AQ5" s="57">
        <v>53</v>
      </c>
      <c r="AR5" s="57" t="str">
        <f t="shared" si="5"/>
        <v>2009w53</v>
      </c>
      <c r="AS5" s="58">
        <v>3</v>
      </c>
      <c r="AT5" s="298" t="s">
        <v>190</v>
      </c>
      <c r="AU5" s="59"/>
      <c r="AV5" s="311" t="s">
        <v>151</v>
      </c>
      <c r="AW5" s="313" t="s">
        <v>191</v>
      </c>
      <c r="AX5" s="309"/>
      <c r="AY5" s="309"/>
      <c r="AZ5" s="309"/>
      <c r="BA5" s="309"/>
      <c r="BB5" s="67" t="s">
        <v>192</v>
      </c>
      <c r="BC5" s="68" t="e">
        <f>COUNTIF(MonthCol,MAX(MonthCol))</f>
        <v>#NAME?</v>
      </c>
      <c r="BD5" s="71" t="s">
        <v>184</v>
      </c>
      <c r="BE5" s="80" t="s">
        <v>193</v>
      </c>
      <c r="BF5" s="81" t="s">
        <v>194</v>
      </c>
      <c r="BG5" s="80" t="s">
        <v>195</v>
      </c>
      <c r="BH5" s="81" t="s">
        <v>196</v>
      </c>
      <c r="BI5" s="309"/>
      <c r="BJ5" s="82">
        <v>2</v>
      </c>
      <c r="BK5" s="83" t="s">
        <v>161</v>
      </c>
      <c r="BL5" s="62" t="s">
        <v>197</v>
      </c>
      <c r="BM5" s="62" t="s">
        <v>183</v>
      </c>
      <c r="BN5" s="83" t="s">
        <v>163</v>
      </c>
      <c r="BO5" s="62" t="s">
        <v>198</v>
      </c>
      <c r="BP5" s="62" t="s">
        <v>79</v>
      </c>
    </row>
    <row r="6" spans="1:68" ht="12.75" customHeight="1">
      <c r="A6" s="13" t="s">
        <v>199</v>
      </c>
      <c r="B6" s="11" t="e">
        <f>IF(IF(FormType="Online",VLOOKUP($A6,SectionsCodes,2,0),VLOOKUP($A6,SectionsCodes,4,0))=0,"",IF(FormType="Online",VLOOKUP($A6,SectionsCodes,2,0),VLOOKUP($A6,SectionsCodes,4,0)))</f>
        <v>#NAME?</v>
      </c>
      <c r="C6" s="14" t="e">
        <f>IF(IF(FormType="Online",VLOOKUP($A6,SectionsCodes,3,0),VLOOKUP($A6,SectionsCodes,5,0))=0,"",IF(FormType="Online",VLOOKUP($A6,SectionsCodes,3,0),VLOOKUP($A6,SectionsCodes,5,0)))</f>
        <v>#NAME?</v>
      </c>
      <c r="D6" s="11" t="e">
        <f>COUNTIF(#REF!,$C6)</f>
        <v>#REF!</v>
      </c>
      <c r="E6" s="11" t="e">
        <f t="shared" si="6"/>
        <v>#REF!</v>
      </c>
      <c r="F6" s="15">
        <v>0.25</v>
      </c>
      <c r="G6" s="8" t="s">
        <v>154</v>
      </c>
      <c r="H6" s="8" t="s">
        <v>154</v>
      </c>
      <c r="I6" s="22" t="str">
        <f t="shared" ref="I6:P6" si="10">IF($H6="","",$H6)</f>
        <v>No</v>
      </c>
      <c r="J6" s="22" t="str">
        <f t="shared" si="10"/>
        <v>No</v>
      </c>
      <c r="K6" s="22" t="str">
        <f t="shared" si="10"/>
        <v>No</v>
      </c>
      <c r="L6" s="22" t="str">
        <f t="shared" si="10"/>
        <v>No</v>
      </c>
      <c r="M6" s="22" t="str">
        <f t="shared" si="10"/>
        <v>No</v>
      </c>
      <c r="N6" s="22" t="str">
        <f t="shared" si="10"/>
        <v>No</v>
      </c>
      <c r="O6" s="22" t="str">
        <f t="shared" si="10"/>
        <v>No</v>
      </c>
      <c r="P6" s="22" t="str">
        <f t="shared" si="10"/>
        <v>No</v>
      </c>
      <c r="Q6" s="9" t="str">
        <f t="shared" si="2"/>
        <v>MROC</v>
      </c>
      <c r="R6" s="31">
        <v>4</v>
      </c>
      <c r="S6" s="31" t="s">
        <v>200</v>
      </c>
      <c r="T6" s="31" t="s">
        <v>201</v>
      </c>
      <c r="U6" s="9" t="s">
        <v>144</v>
      </c>
      <c r="V6" s="9" t="s">
        <v>145</v>
      </c>
      <c r="W6" s="9" t="s">
        <v>202</v>
      </c>
      <c r="X6" s="9" t="s">
        <v>203</v>
      </c>
      <c r="Y6" s="9" t="s">
        <v>203</v>
      </c>
      <c r="Z6" s="41"/>
      <c r="AA6" s="41"/>
      <c r="AB6" s="41"/>
      <c r="AC6" s="41"/>
      <c r="AD6" s="41"/>
      <c r="AE6" s="38" t="str">
        <f t="shared" si="3"/>
        <v>Convenience Pay</v>
      </c>
      <c r="AF6" s="40" t="s">
        <v>190</v>
      </c>
      <c r="AG6" s="40" t="s">
        <v>204</v>
      </c>
      <c r="AH6" s="40" t="s">
        <v>137</v>
      </c>
      <c r="AI6" s="40" t="s">
        <v>144</v>
      </c>
      <c r="AJ6" s="40" t="s">
        <v>205</v>
      </c>
      <c r="AK6" s="40" t="s">
        <v>206</v>
      </c>
      <c r="AL6" s="49" t="s">
        <v>171</v>
      </c>
      <c r="AM6" s="48">
        <v>4</v>
      </c>
      <c r="AN6" s="297" t="s">
        <v>207</v>
      </c>
      <c r="AO6" s="60">
        <f t="shared" si="8"/>
        <v>40181</v>
      </c>
      <c r="AP6" s="60">
        <f t="shared" si="4"/>
        <v>40187</v>
      </c>
      <c r="AQ6" s="60">
        <v>1</v>
      </c>
      <c r="AR6" s="60" t="str">
        <f t="shared" si="5"/>
        <v>2010w01</v>
      </c>
      <c r="AS6" s="58">
        <v>4</v>
      </c>
      <c r="AT6" s="298" t="s">
        <v>207</v>
      </c>
      <c r="AU6" s="38"/>
      <c r="AV6" s="309"/>
      <c r="AW6" s="309"/>
      <c r="AX6" s="309"/>
      <c r="AY6" s="309"/>
      <c r="AZ6" s="309"/>
      <c r="BA6" s="309"/>
      <c r="BB6" s="67" t="s">
        <v>208</v>
      </c>
      <c r="BC6" s="68" t="e">
        <f>IF(MAX(#REF!)=MIN(#REF!),0,1)</f>
        <v>#REF!</v>
      </c>
      <c r="BD6" s="71" t="s">
        <v>199</v>
      </c>
      <c r="BE6" s="80"/>
      <c r="BF6" s="81"/>
      <c r="BG6" s="80" t="s">
        <v>193</v>
      </c>
      <c r="BH6" s="81" t="s">
        <v>194</v>
      </c>
      <c r="BI6" s="309"/>
      <c r="BJ6" s="82">
        <v>3</v>
      </c>
      <c r="BK6" s="83" t="s">
        <v>161</v>
      </c>
      <c r="BL6" s="62" t="s">
        <v>209</v>
      </c>
      <c r="BM6" s="62" t="s">
        <v>210</v>
      </c>
      <c r="BN6" s="83" t="s">
        <v>163</v>
      </c>
      <c r="BO6" s="62" t="s">
        <v>211</v>
      </c>
      <c r="BP6" s="62" t="s">
        <v>183</v>
      </c>
    </row>
    <row r="7" spans="1:68" ht="12.75" customHeight="1">
      <c r="A7" s="13" t="s">
        <v>212</v>
      </c>
      <c r="B7" s="11" t="e">
        <f>IF(IF(FormType="Online",VLOOKUP($A7,SectionsCodes,2,0),VLOOKUP($A7,SectionsCodes,4,0))=0,"",IF(FormType="Online",VLOOKUP($A7,SectionsCodes,2,0),VLOOKUP($A7,SectionsCodes,4,0)))</f>
        <v>#NAME?</v>
      </c>
      <c r="C7" s="14" t="e">
        <f>IF(IF(FormType="Online",VLOOKUP($A7,SectionsCodes,3,0),VLOOKUP($A7,SectionsCodes,5,0))=0,"",IF(FormType="Online",VLOOKUP($A7,SectionsCodes,3,0),VLOOKUP($A7,SectionsCodes,5,0)))</f>
        <v>#NAME?</v>
      </c>
      <c r="D7" s="11"/>
      <c r="E7" s="11"/>
      <c r="F7" s="11"/>
      <c r="G7" s="8" t="s">
        <v>213</v>
      </c>
      <c r="H7" s="8" t="s">
        <v>77</v>
      </c>
      <c r="I7" s="24" t="str">
        <f t="shared" ref="I7:L7" si="11">IF($H7="","",$H7)</f>
        <v>n/a</v>
      </c>
      <c r="J7" s="24" t="str">
        <f t="shared" si="11"/>
        <v>n/a</v>
      </c>
      <c r="K7" s="24" t="str">
        <f t="shared" si="11"/>
        <v>n/a</v>
      </c>
      <c r="L7" s="24" t="str">
        <f t="shared" si="11"/>
        <v>n/a</v>
      </c>
      <c r="M7" s="25"/>
      <c r="N7" s="25"/>
      <c r="O7" s="25"/>
      <c r="P7" s="25"/>
      <c r="Q7" s="9" t="str">
        <f t="shared" si="2"/>
        <v>WU Argentina</v>
      </c>
      <c r="R7" s="31">
        <v>5</v>
      </c>
      <c r="S7" s="31" t="s">
        <v>214</v>
      </c>
      <c r="T7" s="31" t="s">
        <v>215</v>
      </c>
      <c r="U7" s="9" t="s">
        <v>144</v>
      </c>
      <c r="V7" s="9" t="s">
        <v>145</v>
      </c>
      <c r="W7" s="9" t="s">
        <v>216</v>
      </c>
      <c r="X7" s="9" t="s">
        <v>217</v>
      </c>
      <c r="Y7" s="9" t="s">
        <v>217</v>
      </c>
      <c r="Z7" s="41"/>
      <c r="AA7" s="41"/>
      <c r="AB7" s="41"/>
      <c r="AC7" s="41"/>
      <c r="AD7" s="41"/>
      <c r="AE7" s="38" t="str">
        <f t="shared" si="3"/>
        <v>D2B</v>
      </c>
      <c r="AF7" s="39" t="s">
        <v>207</v>
      </c>
      <c r="AG7" s="39" t="s">
        <v>218</v>
      </c>
      <c r="AH7" s="39" t="s">
        <v>137</v>
      </c>
      <c r="AI7" s="39" t="s">
        <v>144</v>
      </c>
      <c r="AJ7" s="39" t="s">
        <v>150</v>
      </c>
      <c r="AK7" s="39" t="s">
        <v>206</v>
      </c>
      <c r="AL7" s="47" t="s">
        <v>171</v>
      </c>
      <c r="AM7" s="48">
        <v>5</v>
      </c>
      <c r="AN7" s="297" t="s">
        <v>219</v>
      </c>
      <c r="AO7" s="60">
        <f t="shared" si="8"/>
        <v>40188</v>
      </c>
      <c r="AP7" s="60">
        <f t="shared" si="4"/>
        <v>40194</v>
      </c>
      <c r="AQ7" s="60">
        <v>2</v>
      </c>
      <c r="AR7" s="60" t="str">
        <f t="shared" si="5"/>
        <v>2010w02</v>
      </c>
      <c r="AS7" s="58">
        <v>5</v>
      </c>
      <c r="AT7" s="298" t="s">
        <v>219</v>
      </c>
      <c r="AU7" s="38"/>
      <c r="AV7" s="309"/>
      <c r="AW7" s="309"/>
      <c r="AX7" s="309"/>
      <c r="AY7" s="309"/>
      <c r="AZ7" s="309"/>
      <c r="BA7" s="309"/>
      <c r="BB7" s="67"/>
      <c r="BC7" s="68"/>
      <c r="BD7" s="71" t="s">
        <v>212</v>
      </c>
      <c r="BE7" s="80"/>
      <c r="BF7" s="81"/>
      <c r="BG7" s="80"/>
      <c r="BH7" s="81"/>
      <c r="BI7" s="309"/>
      <c r="BJ7" s="82">
        <v>4</v>
      </c>
      <c r="BK7" s="83" t="s">
        <v>161</v>
      </c>
      <c r="BL7" s="62" t="s">
        <v>220</v>
      </c>
      <c r="BM7" s="62" t="s">
        <v>183</v>
      </c>
      <c r="BN7" s="83" t="s">
        <v>163</v>
      </c>
      <c r="BO7" s="62" t="s">
        <v>221</v>
      </c>
      <c r="BP7" s="62" t="s">
        <v>222</v>
      </c>
    </row>
    <row r="8" spans="1:68" ht="12.75" customHeight="1">
      <c r="A8" s="13" t="s">
        <v>223</v>
      </c>
      <c r="B8" s="11" t="e">
        <f>IF(IF(FormType="Online",VLOOKUP($A8,SectionsCodes,2,0),VLOOKUP($A8,SectionsCodes,4,0))=0,"",IF(FormType="Online",VLOOKUP($A8,SectionsCodes,2,0),VLOOKUP($A8,SectionsCodes,4,0)))</f>
        <v>#NAME?</v>
      </c>
      <c r="C8" s="14" t="e">
        <f>IF(IF(FormType="Online",VLOOKUP($A8,SectionsCodes,3,0),VLOOKUP($A8,SectionsCodes,5,0))=0,"",IF(FormType="Online",VLOOKUP($A8,SectionsCodes,3,0),VLOOKUP($A8,SectionsCodes,5,0)))</f>
        <v>#NAME?</v>
      </c>
      <c r="D8" s="11"/>
      <c r="E8" s="11"/>
      <c r="F8" s="11"/>
      <c r="G8" s="9"/>
      <c r="H8" s="9"/>
      <c r="I8" s="9"/>
      <c r="J8" s="9"/>
      <c r="K8" s="9"/>
      <c r="L8" s="9"/>
      <c r="M8" s="9"/>
      <c r="N8" s="9"/>
      <c r="O8" s="9"/>
      <c r="P8" s="9"/>
      <c r="Q8" s="9" t="str">
        <f t="shared" si="2"/>
        <v>WU Business Solutions</v>
      </c>
      <c r="R8" s="31">
        <v>6</v>
      </c>
      <c r="S8" s="31" t="s">
        <v>224</v>
      </c>
      <c r="T8" s="31" t="s">
        <v>225</v>
      </c>
      <c r="U8" s="9" t="s">
        <v>144</v>
      </c>
      <c r="V8" s="9" t="s">
        <v>145</v>
      </c>
      <c r="W8" s="9" t="s">
        <v>226</v>
      </c>
      <c r="X8" s="9" t="s">
        <v>227</v>
      </c>
      <c r="Y8" s="9" t="s">
        <v>227</v>
      </c>
      <c r="Z8" s="41"/>
      <c r="AA8" s="41"/>
      <c r="AB8" s="41"/>
      <c r="AC8" s="41"/>
      <c r="AD8" s="41"/>
      <c r="AE8" s="38" t="str">
        <f t="shared" si="3"/>
        <v>GSI</v>
      </c>
      <c r="AF8" s="40" t="s">
        <v>219</v>
      </c>
      <c r="AG8" s="40" t="s">
        <v>228</v>
      </c>
      <c r="AH8" s="40" t="s">
        <v>137</v>
      </c>
      <c r="AI8" s="40" t="s">
        <v>144</v>
      </c>
      <c r="AJ8" s="40" t="s">
        <v>150</v>
      </c>
      <c r="AK8" s="40" t="s">
        <v>229</v>
      </c>
      <c r="AL8" s="49" t="s">
        <v>152</v>
      </c>
      <c r="AM8" s="48">
        <v>6</v>
      </c>
      <c r="AN8" s="297" t="s">
        <v>230</v>
      </c>
      <c r="AO8" s="60">
        <f t="shared" si="8"/>
        <v>40195</v>
      </c>
      <c r="AP8" s="60">
        <f t="shared" si="4"/>
        <v>40201</v>
      </c>
      <c r="AQ8" s="60">
        <v>3</v>
      </c>
      <c r="AR8" s="60" t="str">
        <f t="shared" si="5"/>
        <v>2010w03</v>
      </c>
      <c r="AS8" s="58">
        <v>6</v>
      </c>
      <c r="AT8" s="298" t="s">
        <v>230</v>
      </c>
      <c r="AU8" s="38"/>
      <c r="AV8" s="309"/>
      <c r="AW8" s="309"/>
      <c r="AX8" s="309"/>
      <c r="AY8" s="309"/>
      <c r="AZ8" s="309"/>
      <c r="BA8" s="309"/>
      <c r="BB8" s="72" t="s">
        <v>231</v>
      </c>
      <c r="BC8" s="73" t="e">
        <f>IF(MAX(MonthCol)-MIN(MonthCol)&gt;1,1,0)</f>
        <v>#NAME?</v>
      </c>
      <c r="BD8" s="71" t="s">
        <v>223</v>
      </c>
      <c r="BE8" s="80"/>
      <c r="BF8" s="81"/>
      <c r="BG8" s="80"/>
      <c r="BH8" s="81"/>
      <c r="BI8" s="309"/>
      <c r="BJ8" s="82">
        <v>5</v>
      </c>
      <c r="BK8" s="83" t="s">
        <v>161</v>
      </c>
      <c r="BL8" s="62" t="s">
        <v>232</v>
      </c>
      <c r="BM8" s="62" t="s">
        <v>210</v>
      </c>
      <c r="BN8" s="83" t="s">
        <v>163</v>
      </c>
      <c r="BO8" s="62" t="s">
        <v>233</v>
      </c>
      <c r="BP8" s="62" t="s">
        <v>79</v>
      </c>
    </row>
    <row r="9" spans="1:68" ht="12.75" customHeight="1">
      <c r="A9" s="13" t="s">
        <v>234</v>
      </c>
      <c r="B9" s="11" t="e">
        <f>IF(IF(FormType="Online",VLOOKUP($A9,SectionsCodes,2,0),VLOOKUP($A9,SectionsCodes,4,0))=0,"",IF(FormType="Online",VLOOKUP($A9,SectionsCodes,2,0),VLOOKUP($A9,SectionsCodes,4,0)))</f>
        <v>#NAME?</v>
      </c>
      <c r="C9" s="14" t="e">
        <f>IF(IF(FormType="Online",VLOOKUP($A9,SectionsCodes,3,0),VLOOKUP($A9,SectionsCodes,5,0))=0,"",IF(FormType="Online",VLOOKUP($A9,SectionsCodes,3,0),VLOOKUP($A9,SectionsCodes,5,0)))</f>
        <v>#NAME?</v>
      </c>
      <c r="D9" s="11"/>
      <c r="E9" s="11"/>
      <c r="F9" s="11"/>
      <c r="G9" s="309"/>
      <c r="H9" s="9"/>
      <c r="I9" s="9"/>
      <c r="J9" s="26"/>
      <c r="K9" s="26"/>
      <c r="L9" s="26"/>
      <c r="M9" s="26"/>
      <c r="N9" s="26"/>
      <c r="O9" s="26"/>
      <c r="P9" s="26"/>
      <c r="Q9" s="9" t="str">
        <f t="shared" si="2"/>
        <v>DataVimenca</v>
      </c>
      <c r="R9" s="31">
        <v>7</v>
      </c>
      <c r="S9" s="31" t="s">
        <v>235</v>
      </c>
      <c r="T9" s="31" t="s">
        <v>236</v>
      </c>
      <c r="U9" s="9" t="s">
        <v>175</v>
      </c>
      <c r="V9" s="9" t="s">
        <v>236</v>
      </c>
      <c r="W9" s="9" t="s">
        <v>237</v>
      </c>
      <c r="X9" s="9" t="s">
        <v>238</v>
      </c>
      <c r="Y9" s="9" t="s">
        <v>238</v>
      </c>
      <c r="Z9" s="41"/>
      <c r="AA9" s="41"/>
      <c r="AB9" s="41"/>
      <c r="AC9" s="41"/>
      <c r="AD9" s="41"/>
      <c r="AE9" s="38" t="str">
        <f t="shared" si="3"/>
        <v>IAS T2</v>
      </c>
      <c r="AF9" s="39" t="s">
        <v>230</v>
      </c>
      <c r="AG9" s="39" t="s">
        <v>239</v>
      </c>
      <c r="AH9" s="39" t="s">
        <v>137</v>
      </c>
      <c r="AI9" s="39" t="s">
        <v>144</v>
      </c>
      <c r="AJ9" s="39" t="s">
        <v>240</v>
      </c>
      <c r="AK9" s="39" t="s">
        <v>170</v>
      </c>
      <c r="AL9" s="47" t="s">
        <v>171</v>
      </c>
      <c r="AM9" s="48">
        <v>7</v>
      </c>
      <c r="AN9" s="297" t="s">
        <v>241</v>
      </c>
      <c r="AO9" s="60">
        <f t="shared" si="8"/>
        <v>40202</v>
      </c>
      <c r="AP9" s="60">
        <f t="shared" si="4"/>
        <v>40208</v>
      </c>
      <c r="AQ9" s="60">
        <v>4</v>
      </c>
      <c r="AR9" s="60" t="str">
        <f t="shared" si="5"/>
        <v>2010w04</v>
      </c>
      <c r="AS9" s="58">
        <v>7</v>
      </c>
      <c r="AT9" s="298" t="s">
        <v>241</v>
      </c>
      <c r="AU9" s="38"/>
      <c r="AV9" s="309"/>
      <c r="AW9" s="309"/>
      <c r="AX9" s="309"/>
      <c r="AY9" s="309"/>
      <c r="AZ9" s="309"/>
      <c r="BA9" s="309"/>
      <c r="BB9" s="309"/>
      <c r="BC9" s="309"/>
      <c r="BD9" s="71" t="s">
        <v>234</v>
      </c>
      <c r="BE9" s="80"/>
      <c r="BF9" s="81"/>
      <c r="BG9" s="80"/>
      <c r="BH9" s="81"/>
      <c r="BI9" s="309"/>
      <c r="BJ9" s="82">
        <v>6</v>
      </c>
      <c r="BK9" s="83" t="s">
        <v>161</v>
      </c>
      <c r="BL9" s="62" t="s">
        <v>198</v>
      </c>
      <c r="BM9" s="62" t="s">
        <v>181</v>
      </c>
      <c r="BN9" s="83" t="s">
        <v>179</v>
      </c>
      <c r="BO9" s="62" t="s">
        <v>242</v>
      </c>
      <c r="BP9" s="62" t="s">
        <v>243</v>
      </c>
    </row>
    <row r="10" spans="1:68" ht="12.75" customHeight="1">
      <c r="A10" s="13" t="s">
        <v>244</v>
      </c>
      <c r="B10" s="11" t="e">
        <f>IF(IF(FormType="Online",VLOOKUP($A10,SectionsCodes,2,0),VLOOKUP($A10,SectionsCodes,4,0))=0,"",IF(FormType="Online",VLOOKUP($A10,SectionsCodes,2,0),VLOOKUP($A10,SectionsCodes,4,0)))</f>
        <v>#NAME?</v>
      </c>
      <c r="C10" s="14" t="e">
        <f>IF(IF(FormType="Online",VLOOKUP($A10,SectionsCodes,3,0),VLOOKUP($A10,SectionsCodes,5,0))=0,"",IF(FormType="Online",VLOOKUP($A10,SectionsCodes,3,0),VLOOKUP($A10,SectionsCodes,5,0)))</f>
        <v>#NAME?</v>
      </c>
      <c r="D10" s="11"/>
      <c r="E10" s="11"/>
      <c r="F10" s="11"/>
      <c r="G10" s="9"/>
      <c r="H10" s="9"/>
      <c r="I10" s="9"/>
      <c r="J10" s="9"/>
      <c r="K10" s="9"/>
      <c r="L10" s="9"/>
      <c r="M10" s="9"/>
      <c r="N10" s="9"/>
      <c r="O10" s="9"/>
      <c r="P10" s="9"/>
      <c r="Q10" s="9" t="str">
        <f t="shared" si="2"/>
        <v>Minacs</v>
      </c>
      <c r="R10" s="31">
        <v>8</v>
      </c>
      <c r="S10" s="31" t="s">
        <v>245</v>
      </c>
      <c r="T10" s="31" t="s">
        <v>246</v>
      </c>
      <c r="U10" s="9" t="s">
        <v>175</v>
      </c>
      <c r="V10" s="9" t="s">
        <v>246</v>
      </c>
      <c r="W10" s="9" t="s">
        <v>246</v>
      </c>
      <c r="X10" s="9" t="s">
        <v>227</v>
      </c>
      <c r="Y10" s="9" t="s">
        <v>227</v>
      </c>
      <c r="Z10" s="41"/>
      <c r="AA10" s="41"/>
      <c r="AB10" s="41"/>
      <c r="AC10" s="41"/>
      <c r="AD10" s="41"/>
      <c r="AE10" s="38" t="str">
        <f t="shared" si="3"/>
        <v>Loyalty</v>
      </c>
      <c r="AF10" s="40" t="s">
        <v>241</v>
      </c>
      <c r="AG10" s="40" t="s">
        <v>247</v>
      </c>
      <c r="AH10" s="40" t="s">
        <v>137</v>
      </c>
      <c r="AI10" s="40" t="s">
        <v>144</v>
      </c>
      <c r="AJ10" s="40" t="s">
        <v>150</v>
      </c>
      <c r="AK10" s="40" t="s">
        <v>229</v>
      </c>
      <c r="AL10" s="49" t="s">
        <v>171</v>
      </c>
      <c r="AM10" s="48">
        <v>8</v>
      </c>
      <c r="AN10" s="297" t="s">
        <v>248</v>
      </c>
      <c r="AO10" s="60">
        <f t="shared" si="8"/>
        <v>40209</v>
      </c>
      <c r="AP10" s="60">
        <f t="shared" si="4"/>
        <v>40215</v>
      </c>
      <c r="AQ10" s="60">
        <v>5</v>
      </c>
      <c r="AR10" s="60" t="str">
        <f t="shared" si="5"/>
        <v>2010w05</v>
      </c>
      <c r="AS10" s="58">
        <v>8</v>
      </c>
      <c r="AT10" s="298" t="s">
        <v>248</v>
      </c>
      <c r="AU10" s="38"/>
      <c r="AV10" s="309"/>
      <c r="AW10" s="309"/>
      <c r="AX10" s="309"/>
      <c r="AY10" s="309"/>
      <c r="AZ10" s="309"/>
      <c r="BA10" s="309"/>
      <c r="BB10" s="309"/>
      <c r="BC10" s="309"/>
      <c r="BD10" s="71" t="s">
        <v>244</v>
      </c>
      <c r="BE10" s="80"/>
      <c r="BF10" s="81"/>
      <c r="BG10" s="80"/>
      <c r="BH10" s="81"/>
      <c r="BI10" s="309"/>
      <c r="BJ10" s="82">
        <v>7</v>
      </c>
      <c r="BK10" s="83" t="s">
        <v>161</v>
      </c>
      <c r="BL10" s="62" t="s">
        <v>249</v>
      </c>
      <c r="BM10" s="62" t="s">
        <v>210</v>
      </c>
      <c r="BN10" s="83" t="s">
        <v>179</v>
      </c>
      <c r="BO10" s="62" t="s">
        <v>250</v>
      </c>
      <c r="BP10" s="62" t="s">
        <v>251</v>
      </c>
    </row>
    <row r="11" spans="1:68" ht="12.75" customHeight="1">
      <c r="A11" s="13" t="s">
        <v>252</v>
      </c>
      <c r="B11" s="11" t="e">
        <f>IF(IF(FormType="Online",VLOOKUP($A11,SectionsCodes,2,0),VLOOKUP($A11,SectionsCodes,4,0))=0,"",IF(FormType="Online",VLOOKUP($A11,SectionsCodes,2,0),VLOOKUP($A11,SectionsCodes,4,0)))</f>
        <v>#NAME?</v>
      </c>
      <c r="C11" s="14" t="e">
        <f>IF(IF(FormType="Online",VLOOKUP($A11,SectionsCodes,3,0),VLOOKUP($A11,SectionsCodes,5,0))=0,"",IF(FormType="Online",VLOOKUP($A11,SectionsCodes,3,0),VLOOKUP($A11,SectionsCodes,5,0)))</f>
        <v>#NAME?</v>
      </c>
      <c r="D11" s="11"/>
      <c r="E11" s="11"/>
      <c r="F11" s="11"/>
      <c r="G11" s="9"/>
      <c r="H11" s="9"/>
      <c r="I11" s="9"/>
      <c r="J11" s="9"/>
      <c r="K11" s="9"/>
      <c r="L11" s="9"/>
      <c r="M11" s="9"/>
      <c r="N11" s="9"/>
      <c r="O11" s="9"/>
      <c r="P11" s="9"/>
      <c r="Q11" s="9" t="str">
        <f t="shared" si="2"/>
        <v>Minacs-Moncton</v>
      </c>
      <c r="R11" s="31">
        <v>9</v>
      </c>
      <c r="S11" s="31" t="s">
        <v>253</v>
      </c>
      <c r="T11" s="31" t="s">
        <v>254</v>
      </c>
      <c r="U11" s="9" t="s">
        <v>175</v>
      </c>
      <c r="V11" s="9" t="s">
        <v>246</v>
      </c>
      <c r="W11" s="9" t="s">
        <v>255</v>
      </c>
      <c r="X11" s="9" t="s">
        <v>227</v>
      </c>
      <c r="Y11" s="9" t="s">
        <v>227</v>
      </c>
      <c r="Z11" s="41"/>
      <c r="AA11" s="41"/>
      <c r="AB11" s="41"/>
      <c r="AC11" s="41"/>
      <c r="AD11" s="41"/>
      <c r="AE11" s="38" t="str">
        <f t="shared" si="3"/>
        <v>LPT OV</v>
      </c>
      <c r="AF11" s="39" t="s">
        <v>248</v>
      </c>
      <c r="AG11" s="39" t="s">
        <v>256</v>
      </c>
      <c r="AH11" s="39" t="s">
        <v>137</v>
      </c>
      <c r="AI11" s="39" t="s">
        <v>257</v>
      </c>
      <c r="AJ11" s="39" t="s">
        <v>150</v>
      </c>
      <c r="AK11" s="39" t="s">
        <v>229</v>
      </c>
      <c r="AL11" s="47" t="s">
        <v>171</v>
      </c>
      <c r="AM11" s="48">
        <v>9</v>
      </c>
      <c r="AN11" s="297" t="s">
        <v>258</v>
      </c>
      <c r="AO11" s="60">
        <f t="shared" si="8"/>
        <v>40216</v>
      </c>
      <c r="AP11" s="60">
        <f t="shared" si="4"/>
        <v>40222</v>
      </c>
      <c r="AQ11" s="60">
        <v>6</v>
      </c>
      <c r="AR11" s="60" t="str">
        <f t="shared" si="5"/>
        <v>2010w06</v>
      </c>
      <c r="AS11" s="58">
        <v>9</v>
      </c>
      <c r="AT11" s="298" t="s">
        <v>258</v>
      </c>
      <c r="AU11" s="38"/>
      <c r="AV11" s="309"/>
      <c r="AW11" s="309"/>
      <c r="AX11" s="309"/>
      <c r="AY11" s="309"/>
      <c r="AZ11" s="309"/>
      <c r="BA11" s="309"/>
      <c r="BB11" s="309"/>
      <c r="BC11" s="309"/>
      <c r="BD11" s="71" t="s">
        <v>252</v>
      </c>
      <c r="BE11" s="80"/>
      <c r="BF11" s="81"/>
      <c r="BG11" s="80"/>
      <c r="BH11" s="81"/>
      <c r="BI11" s="309"/>
      <c r="BJ11" s="82">
        <v>8</v>
      </c>
      <c r="BK11" s="83" t="s">
        <v>161</v>
      </c>
      <c r="BL11" s="62" t="s">
        <v>259</v>
      </c>
      <c r="BM11" s="62" t="s">
        <v>79</v>
      </c>
      <c r="BN11" s="83" t="s">
        <v>179</v>
      </c>
      <c r="BO11" s="62" t="s">
        <v>260</v>
      </c>
      <c r="BP11" s="62" t="s">
        <v>222</v>
      </c>
    </row>
    <row r="12" spans="1:68" ht="12.75" customHeight="1">
      <c r="A12" s="13" t="s">
        <v>261</v>
      </c>
      <c r="B12" s="11" t="e">
        <f>IF(IF(FormType="Online",VLOOKUP($A12,SectionsCodes,2,0),VLOOKUP($A12,SectionsCodes,4,0))=0,"",IF(FormType="Online",VLOOKUP($A12,SectionsCodes,2,0),VLOOKUP($A12,SectionsCodes,4,0)))</f>
        <v>#NAME?</v>
      </c>
      <c r="C12" s="14" t="e">
        <f>IF(IF(FormType="Online",VLOOKUP($A12,SectionsCodes,3,0),VLOOKUP($A12,SectionsCodes,5,0))=0,"",IF(FormType="Online",VLOOKUP($A12,SectionsCodes,3,0),VLOOKUP($A12,SectionsCodes,5,0)))</f>
        <v>#NAME?</v>
      </c>
      <c r="D12" s="11"/>
      <c r="E12" s="11"/>
      <c r="F12" s="11"/>
      <c r="G12" s="9"/>
      <c r="H12" s="9"/>
      <c r="I12" s="9"/>
      <c r="J12" s="9"/>
      <c r="K12" s="9"/>
      <c r="L12" s="9"/>
      <c r="M12" s="9"/>
      <c r="N12" s="9"/>
      <c r="O12" s="9"/>
      <c r="P12" s="9"/>
      <c r="Q12" s="9" t="str">
        <f t="shared" si="2"/>
        <v>Minacs-Mississauga</v>
      </c>
      <c r="R12" s="31">
        <v>10</v>
      </c>
      <c r="S12" s="31" t="s">
        <v>262</v>
      </c>
      <c r="T12" s="31" t="s">
        <v>263</v>
      </c>
      <c r="U12" s="9" t="s">
        <v>175</v>
      </c>
      <c r="V12" s="9" t="s">
        <v>246</v>
      </c>
      <c r="W12" s="9" t="s">
        <v>264</v>
      </c>
      <c r="X12" s="9" t="s">
        <v>227</v>
      </c>
      <c r="Y12" s="9" t="s">
        <v>227</v>
      </c>
      <c r="Z12" s="41"/>
      <c r="AA12" s="41"/>
      <c r="AB12" s="41"/>
      <c r="AC12" s="41"/>
      <c r="AD12" s="41"/>
      <c r="AE12" s="38" t="str">
        <f t="shared" si="3"/>
        <v>LPT Vigo</v>
      </c>
      <c r="AF12" s="40" t="s">
        <v>258</v>
      </c>
      <c r="AG12" s="40" t="s">
        <v>265</v>
      </c>
      <c r="AH12" s="40" t="s">
        <v>137</v>
      </c>
      <c r="AI12" s="40" t="s">
        <v>266</v>
      </c>
      <c r="AJ12" s="40" t="s">
        <v>150</v>
      </c>
      <c r="AK12" s="40" t="s">
        <v>206</v>
      </c>
      <c r="AL12" s="49" t="s">
        <v>171</v>
      </c>
      <c r="AM12" s="48">
        <v>10</v>
      </c>
      <c r="AN12" s="297" t="s">
        <v>267</v>
      </c>
      <c r="AO12" s="60">
        <f t="shared" si="8"/>
        <v>40223</v>
      </c>
      <c r="AP12" s="60">
        <f t="shared" si="4"/>
        <v>40229</v>
      </c>
      <c r="AQ12" s="60">
        <v>7</v>
      </c>
      <c r="AR12" s="60" t="str">
        <f t="shared" si="5"/>
        <v>2010w07</v>
      </c>
      <c r="AS12" s="58">
        <v>10</v>
      </c>
      <c r="AT12" s="298" t="s">
        <v>267</v>
      </c>
      <c r="AU12" s="38"/>
      <c r="AV12" s="309"/>
      <c r="AW12" s="309"/>
      <c r="AX12" s="309"/>
      <c r="AY12" s="309"/>
      <c r="AZ12" s="309"/>
      <c r="BA12" s="309"/>
      <c r="BB12" s="309"/>
      <c r="BC12" s="309"/>
      <c r="BD12" s="74" t="s">
        <v>261</v>
      </c>
      <c r="BE12" s="84"/>
      <c r="BF12" s="85"/>
      <c r="BG12" s="84"/>
      <c r="BH12" s="85"/>
      <c r="BI12" s="309"/>
      <c r="BJ12" s="82">
        <v>9</v>
      </c>
      <c r="BK12" s="83" t="s">
        <v>161</v>
      </c>
      <c r="BL12" s="62" t="s">
        <v>268</v>
      </c>
      <c r="BM12" s="62" t="s">
        <v>269</v>
      </c>
      <c r="BN12" s="83" t="s">
        <v>179</v>
      </c>
      <c r="BO12" s="62" t="s">
        <v>270</v>
      </c>
      <c r="BP12" s="62" t="s">
        <v>271</v>
      </c>
    </row>
    <row r="13" spans="1:68" ht="12.75" customHeight="1">
      <c r="A13" s="13"/>
      <c r="B13" s="11"/>
      <c r="C13" s="14"/>
      <c r="D13" s="11"/>
      <c r="E13" s="11"/>
      <c r="F13" s="11"/>
      <c r="G13" s="9"/>
      <c r="H13" s="9"/>
      <c r="I13" s="9"/>
      <c r="J13" s="9"/>
      <c r="K13" s="9"/>
      <c r="L13" s="9"/>
      <c r="M13" s="9"/>
      <c r="N13" s="9"/>
      <c r="O13" s="9"/>
      <c r="P13" s="9"/>
      <c r="Q13" s="9" t="str">
        <f t="shared" si="2"/>
        <v>Minacs-Hackensack</v>
      </c>
      <c r="R13" s="31">
        <v>11</v>
      </c>
      <c r="S13" s="31" t="s">
        <v>272</v>
      </c>
      <c r="T13" s="31" t="s">
        <v>273</v>
      </c>
      <c r="U13" s="9" t="s">
        <v>175</v>
      </c>
      <c r="V13" s="9" t="s">
        <v>246</v>
      </c>
      <c r="W13" s="9" t="s">
        <v>274</v>
      </c>
      <c r="X13" s="9" t="s">
        <v>275</v>
      </c>
      <c r="Y13" s="9" t="s">
        <v>275</v>
      </c>
      <c r="Z13" s="41"/>
      <c r="AA13" s="41"/>
      <c r="AB13" s="41"/>
      <c r="AC13" s="41"/>
      <c r="AD13" s="41"/>
      <c r="AE13" s="38" t="str">
        <f t="shared" si="3"/>
        <v>MTBP Agent Services</v>
      </c>
      <c r="AF13" s="39" t="s">
        <v>267</v>
      </c>
      <c r="AG13" s="39" t="s">
        <v>276</v>
      </c>
      <c r="AH13" s="39" t="s">
        <v>137</v>
      </c>
      <c r="AI13" s="39" t="s">
        <v>144</v>
      </c>
      <c r="AJ13" s="39" t="s">
        <v>150</v>
      </c>
      <c r="AK13" s="39" t="s">
        <v>170</v>
      </c>
      <c r="AL13" s="47" t="s">
        <v>171</v>
      </c>
      <c r="AM13" s="48">
        <v>11</v>
      </c>
      <c r="AN13" s="297" t="s">
        <v>277</v>
      </c>
      <c r="AO13" s="60">
        <f t="shared" si="8"/>
        <v>40230</v>
      </c>
      <c r="AP13" s="60">
        <f t="shared" si="4"/>
        <v>40236</v>
      </c>
      <c r="AQ13" s="60">
        <v>8</v>
      </c>
      <c r="AR13" s="60" t="str">
        <f t="shared" si="5"/>
        <v>2010w08</v>
      </c>
      <c r="AS13" s="58">
        <v>11</v>
      </c>
      <c r="AT13" s="298" t="s">
        <v>277</v>
      </c>
      <c r="AU13" s="38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82">
        <v>10</v>
      </c>
      <c r="BK13" s="83" t="s">
        <v>161</v>
      </c>
      <c r="BL13" s="62" t="s">
        <v>278</v>
      </c>
      <c r="BM13" s="62" t="s">
        <v>181</v>
      </c>
      <c r="BN13" s="83" t="s">
        <v>179</v>
      </c>
      <c r="BO13" s="62" t="s">
        <v>279</v>
      </c>
      <c r="BP13" s="62" t="s">
        <v>222</v>
      </c>
    </row>
    <row r="14" spans="1:68" ht="12.75" customHeight="1">
      <c r="A14" s="13"/>
      <c r="B14" s="11"/>
      <c r="C14" s="14"/>
      <c r="D14" s="11"/>
      <c r="E14" s="11"/>
      <c r="F14" s="11"/>
      <c r="G14" s="9"/>
      <c r="H14" s="9"/>
      <c r="I14" s="9"/>
      <c r="J14" s="9"/>
      <c r="K14" s="9"/>
      <c r="L14" s="9"/>
      <c r="M14" s="9"/>
      <c r="N14" s="9"/>
      <c r="O14" s="9"/>
      <c r="P14" s="9"/>
      <c r="Q14" s="9" t="str">
        <f t="shared" si="2"/>
        <v>TP-Argentina</v>
      </c>
      <c r="R14" s="31">
        <v>12</v>
      </c>
      <c r="S14" s="31" t="s">
        <v>280</v>
      </c>
      <c r="T14" s="31" t="s">
        <v>281</v>
      </c>
      <c r="U14" s="9" t="s">
        <v>175</v>
      </c>
      <c r="V14" s="9" t="s">
        <v>282</v>
      </c>
      <c r="W14" s="9" t="s">
        <v>216</v>
      </c>
      <c r="X14" s="9" t="s">
        <v>217</v>
      </c>
      <c r="Y14" s="9" t="s">
        <v>217</v>
      </c>
      <c r="Z14" s="41"/>
      <c r="AA14" s="41"/>
      <c r="AB14" s="41"/>
      <c r="AC14" s="41"/>
      <c r="AD14" s="41"/>
      <c r="AE14" s="38" t="str">
        <f t="shared" si="3"/>
        <v>MTBP Consumer</v>
      </c>
      <c r="AF14" s="40" t="s">
        <v>277</v>
      </c>
      <c r="AG14" s="40" t="s">
        <v>283</v>
      </c>
      <c r="AH14" s="40" t="s">
        <v>137</v>
      </c>
      <c r="AI14" s="40" t="s">
        <v>144</v>
      </c>
      <c r="AJ14" s="40" t="s">
        <v>150</v>
      </c>
      <c r="AK14" s="40" t="s">
        <v>229</v>
      </c>
      <c r="AL14" s="49" t="s">
        <v>171</v>
      </c>
      <c r="AM14" s="48">
        <v>12</v>
      </c>
      <c r="AN14" s="297" t="s">
        <v>284</v>
      </c>
      <c r="AO14" s="60">
        <f t="shared" si="8"/>
        <v>40237</v>
      </c>
      <c r="AP14" s="60">
        <f t="shared" si="4"/>
        <v>40243</v>
      </c>
      <c r="AQ14" s="60">
        <v>9</v>
      </c>
      <c r="AR14" s="60" t="str">
        <f t="shared" si="5"/>
        <v>2010w09</v>
      </c>
      <c r="AS14" s="58">
        <v>12</v>
      </c>
      <c r="AT14" s="298" t="s">
        <v>284</v>
      </c>
      <c r="AU14" s="38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82">
        <v>11</v>
      </c>
      <c r="BK14" s="83" t="s">
        <v>161</v>
      </c>
      <c r="BL14" s="62" t="s">
        <v>285</v>
      </c>
      <c r="BM14" s="62" t="s">
        <v>271</v>
      </c>
      <c r="BN14" s="83" t="s">
        <v>196</v>
      </c>
      <c r="BO14" s="62" t="s">
        <v>180</v>
      </c>
      <c r="BP14" s="62" t="s">
        <v>79</v>
      </c>
    </row>
    <row r="15" spans="1:68" ht="12.75" customHeight="1">
      <c r="A15" s="13"/>
      <c r="B15" s="11"/>
      <c r="C15" s="14"/>
      <c r="D15" s="11"/>
      <c r="E15" s="11"/>
      <c r="F15" s="11"/>
      <c r="G15" s="9"/>
      <c r="H15" s="9"/>
      <c r="I15" s="9"/>
      <c r="J15" s="9"/>
      <c r="K15" s="9"/>
      <c r="L15" s="9"/>
      <c r="M15" s="9"/>
      <c r="N15" s="9"/>
      <c r="O15" s="9"/>
      <c r="P15" s="9"/>
      <c r="Q15" s="9" t="str">
        <f t="shared" si="2"/>
        <v>TP-Costa Rica</v>
      </c>
      <c r="R15" s="31">
        <v>13</v>
      </c>
      <c r="S15" s="31" t="s">
        <v>286</v>
      </c>
      <c r="T15" s="31" t="s">
        <v>287</v>
      </c>
      <c r="U15" s="9" t="s">
        <v>175</v>
      </c>
      <c r="V15" s="9" t="s">
        <v>282</v>
      </c>
      <c r="W15" s="9" t="s">
        <v>187</v>
      </c>
      <c r="X15" s="9" t="s">
        <v>188</v>
      </c>
      <c r="Y15" s="9" t="s">
        <v>188</v>
      </c>
      <c r="Z15" s="9"/>
      <c r="AA15" s="9"/>
      <c r="AB15" s="9"/>
      <c r="AC15" s="9"/>
      <c r="AD15" s="9"/>
      <c r="AE15" s="38" t="str">
        <f t="shared" si="3"/>
        <v>MTPC Tech Support</v>
      </c>
      <c r="AF15" s="39" t="s">
        <v>284</v>
      </c>
      <c r="AG15" s="39" t="s">
        <v>288</v>
      </c>
      <c r="AH15" s="39" t="s">
        <v>137</v>
      </c>
      <c r="AI15" s="39" t="s">
        <v>144</v>
      </c>
      <c r="AJ15" s="39" t="s">
        <v>150</v>
      </c>
      <c r="AK15" s="39" t="s">
        <v>170</v>
      </c>
      <c r="AL15" s="47" t="s">
        <v>171</v>
      </c>
      <c r="AM15" s="48">
        <v>13</v>
      </c>
      <c r="AN15" s="297" t="s">
        <v>289</v>
      </c>
      <c r="AO15" s="60">
        <f t="shared" si="8"/>
        <v>40244</v>
      </c>
      <c r="AP15" s="60">
        <f t="shared" si="4"/>
        <v>40250</v>
      </c>
      <c r="AQ15" s="60">
        <v>10</v>
      </c>
      <c r="AR15" s="60" t="str">
        <f t="shared" si="5"/>
        <v>2010w10</v>
      </c>
      <c r="AS15" s="58">
        <v>13</v>
      </c>
      <c r="AT15" s="61" t="s">
        <v>153</v>
      </c>
      <c r="AU15" s="38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82">
        <v>12</v>
      </c>
      <c r="BK15" s="83" t="s">
        <v>161</v>
      </c>
      <c r="BL15" s="62" t="s">
        <v>290</v>
      </c>
      <c r="BM15" s="62" t="s">
        <v>271</v>
      </c>
      <c r="BN15" s="83" t="s">
        <v>196</v>
      </c>
      <c r="BO15" s="62" t="s">
        <v>209</v>
      </c>
      <c r="BP15" s="62" t="s">
        <v>79</v>
      </c>
    </row>
    <row r="16" spans="1:68" ht="12.75" customHeight="1">
      <c r="A16" s="13"/>
      <c r="B16" s="11"/>
      <c r="C16" s="14"/>
      <c r="D16" s="11"/>
      <c r="E16" s="11"/>
      <c r="F16" s="11"/>
      <c r="G16" s="9"/>
      <c r="H16" s="9"/>
      <c r="I16" s="9"/>
      <c r="J16" s="9"/>
      <c r="K16" s="9"/>
      <c r="L16" s="9"/>
      <c r="M16" s="9"/>
      <c r="N16" s="9"/>
      <c r="O16" s="9"/>
      <c r="P16" s="9"/>
      <c r="Q16" s="9" t="str">
        <f t="shared" si="2"/>
        <v>TP-Egypt</v>
      </c>
      <c r="R16" s="31">
        <v>14</v>
      </c>
      <c r="S16" s="31" t="s">
        <v>291</v>
      </c>
      <c r="T16" s="31" t="s">
        <v>292</v>
      </c>
      <c r="U16" s="9" t="s">
        <v>175</v>
      </c>
      <c r="V16" s="9" t="s">
        <v>282</v>
      </c>
      <c r="W16" s="9" t="s">
        <v>293</v>
      </c>
      <c r="X16" s="9" t="s">
        <v>294</v>
      </c>
      <c r="Y16" s="9" t="s">
        <v>294</v>
      </c>
      <c r="Z16" s="9"/>
      <c r="AA16" s="9"/>
      <c r="AB16" s="9"/>
      <c r="AC16" s="9"/>
      <c r="AD16" s="9"/>
      <c r="AE16" s="38" t="str">
        <f t="shared" si="3"/>
        <v>OV Agent Services</v>
      </c>
      <c r="AF16" s="40" t="s">
        <v>289</v>
      </c>
      <c r="AG16" s="40" t="s">
        <v>295</v>
      </c>
      <c r="AH16" s="40" t="s">
        <v>137</v>
      </c>
      <c r="AI16" s="40" t="s">
        <v>257</v>
      </c>
      <c r="AJ16" s="40" t="s">
        <v>150</v>
      </c>
      <c r="AK16" s="40" t="s">
        <v>170</v>
      </c>
      <c r="AL16" s="49" t="s">
        <v>171</v>
      </c>
      <c r="AM16" s="48">
        <v>14</v>
      </c>
      <c r="AN16" s="297" t="s">
        <v>296</v>
      </c>
      <c r="AO16" s="60">
        <f t="shared" si="8"/>
        <v>40251</v>
      </c>
      <c r="AP16" s="60">
        <f t="shared" si="4"/>
        <v>40257</v>
      </c>
      <c r="AQ16" s="60">
        <v>11</v>
      </c>
      <c r="AR16" s="60" t="str">
        <f t="shared" si="5"/>
        <v>2010w11</v>
      </c>
      <c r="AS16" s="309"/>
      <c r="AT16" s="309"/>
      <c r="AU16" s="38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82">
        <v>13</v>
      </c>
      <c r="BK16" s="83" t="s">
        <v>161</v>
      </c>
      <c r="BL16" s="62" t="s">
        <v>297</v>
      </c>
      <c r="BM16" s="62" t="s">
        <v>298</v>
      </c>
      <c r="BN16" s="83" t="s">
        <v>196</v>
      </c>
      <c r="BO16" s="62" t="s">
        <v>232</v>
      </c>
      <c r="BP16" s="62" t="s">
        <v>79</v>
      </c>
    </row>
    <row r="17" spans="1:68" ht="12.75" customHeight="1">
      <c r="A17" s="13"/>
      <c r="B17" s="11"/>
      <c r="C17" s="14"/>
      <c r="D17" s="11"/>
      <c r="E17" s="11"/>
      <c r="F17" s="11"/>
      <c r="G17" s="9"/>
      <c r="H17" s="9"/>
      <c r="I17" s="9"/>
      <c r="J17" s="9"/>
      <c r="K17" s="9"/>
      <c r="L17" s="9"/>
      <c r="M17" s="9"/>
      <c r="N17" s="9"/>
      <c r="O17" s="9"/>
      <c r="P17" s="9"/>
      <c r="Q17" s="9" t="str">
        <f t="shared" si="2"/>
        <v>TP-Greece</v>
      </c>
      <c r="R17" s="31">
        <v>15</v>
      </c>
      <c r="S17" s="31" t="s">
        <v>299</v>
      </c>
      <c r="T17" s="31" t="s">
        <v>300</v>
      </c>
      <c r="U17" s="9" t="s">
        <v>175</v>
      </c>
      <c r="V17" s="9" t="s">
        <v>282</v>
      </c>
      <c r="W17" s="9" t="s">
        <v>301</v>
      </c>
      <c r="X17" s="9" t="s">
        <v>302</v>
      </c>
      <c r="Y17" s="9" t="s">
        <v>302</v>
      </c>
      <c r="Z17" s="9"/>
      <c r="AA17" s="9"/>
      <c r="AB17" s="9"/>
      <c r="AC17" s="9"/>
      <c r="AD17" s="9"/>
      <c r="AE17" s="38" t="str">
        <f t="shared" si="3"/>
        <v>OV Customer Service</v>
      </c>
      <c r="AF17" s="39" t="s">
        <v>296</v>
      </c>
      <c r="AG17" s="39" t="s">
        <v>303</v>
      </c>
      <c r="AH17" s="39" t="s">
        <v>137</v>
      </c>
      <c r="AI17" s="39" t="s">
        <v>257</v>
      </c>
      <c r="AJ17" s="39" t="s">
        <v>150</v>
      </c>
      <c r="AK17" s="39" t="s">
        <v>206</v>
      </c>
      <c r="AL17" s="47" t="s">
        <v>171</v>
      </c>
      <c r="AM17" s="48">
        <v>15</v>
      </c>
      <c r="AN17" s="297" t="s">
        <v>304</v>
      </c>
      <c r="AO17" s="60">
        <f t="shared" si="8"/>
        <v>40258</v>
      </c>
      <c r="AP17" s="60">
        <f t="shared" si="4"/>
        <v>40264</v>
      </c>
      <c r="AQ17" s="60">
        <v>12</v>
      </c>
      <c r="AR17" s="60" t="str">
        <f t="shared" si="5"/>
        <v>2010w12</v>
      </c>
      <c r="AS17" s="309"/>
      <c r="AT17" s="309"/>
      <c r="AU17" s="38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82">
        <v>14</v>
      </c>
      <c r="BK17" s="83" t="s">
        <v>179</v>
      </c>
      <c r="BL17" s="62" t="s">
        <v>305</v>
      </c>
      <c r="BM17" s="62" t="s">
        <v>183</v>
      </c>
      <c r="BN17" s="83" t="s">
        <v>196</v>
      </c>
      <c r="BO17" s="62" t="s">
        <v>198</v>
      </c>
      <c r="BP17" s="62" t="s">
        <v>79</v>
      </c>
    </row>
    <row r="18" spans="1:68" ht="12.75" customHeight="1">
      <c r="A18" s="13"/>
      <c r="B18" s="11"/>
      <c r="C18" s="14"/>
      <c r="D18" s="11"/>
      <c r="E18" s="11"/>
      <c r="F18" s="11"/>
      <c r="G18" s="9"/>
      <c r="H18" s="9"/>
      <c r="I18" s="9"/>
      <c r="J18" s="9"/>
      <c r="K18" s="9"/>
      <c r="L18" s="9"/>
      <c r="M18" s="9"/>
      <c r="N18" s="9"/>
      <c r="O18" s="9"/>
      <c r="P18" s="9"/>
      <c r="Q18" s="9" t="str">
        <f t="shared" si="2"/>
        <v>TP-Monterrey</v>
      </c>
      <c r="R18" s="31">
        <v>16</v>
      </c>
      <c r="S18" s="31" t="s">
        <v>306</v>
      </c>
      <c r="T18" s="31" t="s">
        <v>307</v>
      </c>
      <c r="U18" s="9" t="s">
        <v>175</v>
      </c>
      <c r="V18" s="9" t="s">
        <v>282</v>
      </c>
      <c r="W18" s="9" t="s">
        <v>308</v>
      </c>
      <c r="X18" s="9" t="s">
        <v>203</v>
      </c>
      <c r="Y18" s="9" t="s">
        <v>203</v>
      </c>
      <c r="Z18" s="9"/>
      <c r="AA18" s="9"/>
      <c r="AB18" s="9"/>
      <c r="AC18" s="9"/>
      <c r="AD18" s="9"/>
      <c r="AE18" s="38" t="str">
        <f t="shared" si="3"/>
        <v>Paymap CS</v>
      </c>
      <c r="AF18" s="40" t="s">
        <v>304</v>
      </c>
      <c r="AG18" s="40" t="s">
        <v>309</v>
      </c>
      <c r="AH18" s="40" t="s">
        <v>137</v>
      </c>
      <c r="AI18" s="40" t="s">
        <v>144</v>
      </c>
      <c r="AJ18" s="40" t="s">
        <v>205</v>
      </c>
      <c r="AK18" s="40" t="s">
        <v>229</v>
      </c>
      <c r="AL18" s="49" t="s">
        <v>171</v>
      </c>
      <c r="AM18" s="48">
        <v>16</v>
      </c>
      <c r="AN18" s="297" t="s">
        <v>310</v>
      </c>
      <c r="AO18" s="60">
        <f t="shared" si="8"/>
        <v>40265</v>
      </c>
      <c r="AP18" s="60">
        <f t="shared" si="4"/>
        <v>40271</v>
      </c>
      <c r="AQ18" s="60">
        <v>13</v>
      </c>
      <c r="AR18" s="60" t="str">
        <f t="shared" si="5"/>
        <v>2010w13</v>
      </c>
      <c r="AS18" s="309"/>
      <c r="AT18" s="309"/>
      <c r="AU18" s="38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82">
        <v>15</v>
      </c>
      <c r="BK18" s="83" t="s">
        <v>179</v>
      </c>
      <c r="BL18" s="62" t="s">
        <v>311</v>
      </c>
      <c r="BM18" s="62" t="s">
        <v>183</v>
      </c>
      <c r="BN18" s="83" t="s">
        <v>196</v>
      </c>
      <c r="BO18" s="62" t="s">
        <v>278</v>
      </c>
      <c r="BP18" s="62" t="s">
        <v>79</v>
      </c>
    </row>
    <row r="19" spans="1:68" ht="12.75" customHeight="1">
      <c r="A19" s="16"/>
      <c r="B19" s="17"/>
      <c r="C19" s="18"/>
      <c r="D19" s="11"/>
      <c r="E19" s="11"/>
      <c r="F19" s="11"/>
      <c r="G19" s="9"/>
      <c r="H19" s="9"/>
      <c r="I19" s="9"/>
      <c r="J19" s="9"/>
      <c r="K19" s="9"/>
      <c r="L19" s="9"/>
      <c r="M19" s="9"/>
      <c r="N19" s="9"/>
      <c r="O19" s="9"/>
      <c r="P19" s="9"/>
      <c r="Q19" s="9" t="str">
        <f t="shared" si="2"/>
        <v>TP-Ogden</v>
      </c>
      <c r="R19" s="31">
        <v>17</v>
      </c>
      <c r="S19" s="31" t="s">
        <v>312</v>
      </c>
      <c r="T19" s="31" t="s">
        <v>313</v>
      </c>
      <c r="U19" s="9" t="s">
        <v>175</v>
      </c>
      <c r="V19" s="9" t="s">
        <v>282</v>
      </c>
      <c r="W19" s="9" t="s">
        <v>314</v>
      </c>
      <c r="X19" s="9" t="s">
        <v>275</v>
      </c>
      <c r="Y19" s="9" t="s">
        <v>275</v>
      </c>
      <c r="Z19" s="9"/>
      <c r="AA19" s="9"/>
      <c r="AB19" s="9"/>
      <c r="AC19" s="9"/>
      <c r="AD19" s="9"/>
      <c r="AE19" s="38" t="str">
        <f t="shared" si="3"/>
        <v>PrePay</v>
      </c>
      <c r="AF19" s="39" t="s">
        <v>310</v>
      </c>
      <c r="AG19" s="39" t="s">
        <v>315</v>
      </c>
      <c r="AH19" s="39" t="s">
        <v>137</v>
      </c>
      <c r="AI19" s="39" t="s">
        <v>144</v>
      </c>
      <c r="AJ19" s="39" t="s">
        <v>205</v>
      </c>
      <c r="AK19" s="39" t="s">
        <v>206</v>
      </c>
      <c r="AL19" s="47" t="s">
        <v>152</v>
      </c>
      <c r="AM19" s="48">
        <v>17</v>
      </c>
      <c r="AN19" s="297" t="s">
        <v>316</v>
      </c>
      <c r="AO19" s="60">
        <f t="shared" si="8"/>
        <v>40272</v>
      </c>
      <c r="AP19" s="60">
        <f t="shared" si="4"/>
        <v>40278</v>
      </c>
      <c r="AQ19" s="60">
        <v>14</v>
      </c>
      <c r="AR19" s="60" t="str">
        <f t="shared" si="5"/>
        <v>2010w14</v>
      </c>
      <c r="AS19" s="309"/>
      <c r="AT19" s="309"/>
      <c r="AU19" s="38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82">
        <v>16</v>
      </c>
      <c r="BK19" s="83" t="s">
        <v>179</v>
      </c>
      <c r="BL19" s="62" t="s">
        <v>317</v>
      </c>
      <c r="BM19" s="62" t="s">
        <v>210</v>
      </c>
      <c r="BN19" s="83" t="s">
        <v>196</v>
      </c>
      <c r="BO19" s="62" t="s">
        <v>285</v>
      </c>
      <c r="BP19" s="62" t="s">
        <v>251</v>
      </c>
    </row>
    <row r="20" spans="1:68" ht="12.75" customHeight="1">
      <c r="A20" s="309"/>
      <c r="B20" s="309"/>
      <c r="C20" s="309"/>
      <c r="D20" s="309"/>
      <c r="E20" s="309"/>
      <c r="F20" s="309"/>
      <c r="G20" s="309"/>
      <c r="H20" s="309"/>
      <c r="I20" s="9"/>
      <c r="J20" s="9"/>
      <c r="K20" s="9"/>
      <c r="L20" s="9"/>
      <c r="M20" s="9"/>
      <c r="N20" s="9"/>
      <c r="O20" s="9"/>
      <c r="P20" s="9"/>
      <c r="Q20" s="9" t="str">
        <f t="shared" si="2"/>
        <v>Teletech-Buenos Aires</v>
      </c>
      <c r="R20" s="31">
        <v>18</v>
      </c>
      <c r="S20" s="31" t="s">
        <v>318</v>
      </c>
      <c r="T20" s="31" t="s">
        <v>319</v>
      </c>
      <c r="U20" s="9" t="s">
        <v>175</v>
      </c>
      <c r="V20" s="9" t="s">
        <v>320</v>
      </c>
      <c r="W20" s="9" t="s">
        <v>216</v>
      </c>
      <c r="X20" s="9" t="s">
        <v>217</v>
      </c>
      <c r="Y20" s="9" t="s">
        <v>217</v>
      </c>
      <c r="Z20" s="9"/>
      <c r="AA20" s="9"/>
      <c r="AB20" s="9"/>
      <c r="AC20" s="9"/>
      <c r="AD20" s="9"/>
      <c r="AE20" s="38" t="str">
        <f t="shared" si="3"/>
        <v>Quick Collect</v>
      </c>
      <c r="AF20" s="40" t="s">
        <v>316</v>
      </c>
      <c r="AG20" s="40" t="s">
        <v>321</v>
      </c>
      <c r="AH20" s="40" t="s">
        <v>137</v>
      </c>
      <c r="AI20" s="40" t="s">
        <v>144</v>
      </c>
      <c r="AJ20" s="40" t="s">
        <v>205</v>
      </c>
      <c r="AK20" s="40" t="s">
        <v>206</v>
      </c>
      <c r="AL20" s="49" t="s">
        <v>152</v>
      </c>
      <c r="AM20" s="48">
        <v>18</v>
      </c>
      <c r="AN20" s="297" t="s">
        <v>322</v>
      </c>
      <c r="AO20" s="60">
        <f t="shared" si="8"/>
        <v>40279</v>
      </c>
      <c r="AP20" s="60">
        <f t="shared" si="4"/>
        <v>40285</v>
      </c>
      <c r="AQ20" s="60">
        <v>15</v>
      </c>
      <c r="AR20" s="60" t="str">
        <f t="shared" si="5"/>
        <v>2010w15</v>
      </c>
      <c r="AS20" s="309"/>
      <c r="AT20" s="309"/>
      <c r="AU20" s="38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82">
        <v>17</v>
      </c>
      <c r="BK20" s="83" t="s">
        <v>179</v>
      </c>
      <c r="BL20" s="62" t="s">
        <v>250</v>
      </c>
      <c r="BM20" s="62" t="s">
        <v>79</v>
      </c>
      <c r="BN20" s="83" t="s">
        <v>196</v>
      </c>
      <c r="BO20" s="62" t="s">
        <v>290</v>
      </c>
      <c r="BP20" s="62" t="s">
        <v>251</v>
      </c>
    </row>
    <row r="21" spans="1:68" ht="12.75" customHeight="1">
      <c r="A21" s="309"/>
      <c r="B21" s="309"/>
      <c r="C21" s="309"/>
      <c r="D21" s="309"/>
      <c r="E21" s="309"/>
      <c r="F21" s="309"/>
      <c r="G21" s="309"/>
      <c r="H21" s="309"/>
      <c r="I21" s="9"/>
      <c r="J21" s="9"/>
      <c r="K21" s="9"/>
      <c r="L21" s="9"/>
      <c r="M21" s="9"/>
      <c r="N21" s="9"/>
      <c r="O21" s="9"/>
      <c r="P21" s="9"/>
      <c r="Q21" s="9" t="str">
        <f t="shared" si="2"/>
        <v>Telvista</v>
      </c>
      <c r="R21" s="31">
        <v>19</v>
      </c>
      <c r="S21" s="31" t="s">
        <v>323</v>
      </c>
      <c r="T21" s="31" t="s">
        <v>324</v>
      </c>
      <c r="U21" s="9" t="s">
        <v>175</v>
      </c>
      <c r="V21" s="9" t="s">
        <v>324</v>
      </c>
      <c r="W21" s="9" t="s">
        <v>324</v>
      </c>
      <c r="X21" s="9" t="s">
        <v>203</v>
      </c>
      <c r="Y21" s="9" t="s">
        <v>203</v>
      </c>
      <c r="Z21" s="9"/>
      <c r="AA21" s="9"/>
      <c r="AB21" s="9"/>
      <c r="AC21" s="9"/>
      <c r="AD21" s="9"/>
      <c r="AE21" s="38" t="str">
        <f t="shared" si="3"/>
        <v>RMO Agent Services</v>
      </c>
      <c r="AF21" s="39" t="s">
        <v>322</v>
      </c>
      <c r="AG21" s="39" t="s">
        <v>325</v>
      </c>
      <c r="AH21" s="39" t="s">
        <v>137</v>
      </c>
      <c r="AI21" s="39" t="s">
        <v>144</v>
      </c>
      <c r="AJ21" s="39" t="s">
        <v>205</v>
      </c>
      <c r="AK21" s="39" t="s">
        <v>170</v>
      </c>
      <c r="AL21" s="47" t="s">
        <v>171</v>
      </c>
      <c r="AM21" s="48">
        <v>19</v>
      </c>
      <c r="AN21" s="297" t="s">
        <v>326</v>
      </c>
      <c r="AO21" s="60">
        <f t="shared" si="8"/>
        <v>40286</v>
      </c>
      <c r="AP21" s="60">
        <f t="shared" si="4"/>
        <v>40292</v>
      </c>
      <c r="AQ21" s="60">
        <v>16</v>
      </c>
      <c r="AR21" s="60" t="str">
        <f t="shared" si="5"/>
        <v>2010w16</v>
      </c>
      <c r="AS21" s="309"/>
      <c r="AT21" s="309"/>
      <c r="AU21" s="38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82">
        <v>18</v>
      </c>
      <c r="BK21" s="83" t="s">
        <v>179</v>
      </c>
      <c r="BL21" s="62" t="s">
        <v>327</v>
      </c>
      <c r="BM21" s="62" t="s">
        <v>251</v>
      </c>
      <c r="BN21" s="83" t="s">
        <v>194</v>
      </c>
      <c r="BO21" s="62" t="s">
        <v>328</v>
      </c>
      <c r="BP21" s="62" t="s">
        <v>329</v>
      </c>
    </row>
    <row r="22" spans="1:68" ht="12.75" customHeight="1">
      <c r="A22" s="309"/>
      <c r="B22" s="309"/>
      <c r="C22" s="309"/>
      <c r="D22" s="309"/>
      <c r="E22" s="309"/>
      <c r="F22" s="309"/>
      <c r="G22" s="309"/>
      <c r="H22" s="309"/>
      <c r="I22" s="9"/>
      <c r="J22" s="9"/>
      <c r="K22" s="9"/>
      <c r="L22" s="9"/>
      <c r="M22" s="9"/>
      <c r="N22" s="9"/>
      <c r="O22" s="9"/>
      <c r="P22" s="9"/>
      <c r="Q22" s="9" t="str">
        <f t="shared" si="2"/>
        <v>Telvista-Mexicali</v>
      </c>
      <c r="R22" s="31">
        <v>20</v>
      </c>
      <c r="S22" s="31" t="s">
        <v>330</v>
      </c>
      <c r="T22" s="31" t="s">
        <v>331</v>
      </c>
      <c r="U22" s="9" t="s">
        <v>175</v>
      </c>
      <c r="V22" s="9" t="s">
        <v>324</v>
      </c>
      <c r="W22" s="9" t="s">
        <v>332</v>
      </c>
      <c r="X22" s="9" t="s">
        <v>203</v>
      </c>
      <c r="Y22" s="9" t="s">
        <v>203</v>
      </c>
      <c r="Z22" s="9"/>
      <c r="AA22" s="9"/>
      <c r="AB22" s="9"/>
      <c r="AC22" s="9"/>
      <c r="AD22" s="9"/>
      <c r="AE22" s="38" t="str">
        <f t="shared" si="3"/>
        <v>RMO Consumer</v>
      </c>
      <c r="AF22" s="40" t="s">
        <v>326</v>
      </c>
      <c r="AG22" s="40" t="s">
        <v>333</v>
      </c>
      <c r="AH22" s="40" t="s">
        <v>137</v>
      </c>
      <c r="AI22" s="40" t="s">
        <v>144</v>
      </c>
      <c r="AJ22" s="40" t="s">
        <v>205</v>
      </c>
      <c r="AK22" s="40" t="s">
        <v>229</v>
      </c>
      <c r="AL22" s="49" t="s">
        <v>171</v>
      </c>
      <c r="AM22" s="48">
        <v>20</v>
      </c>
      <c r="AN22" s="297" t="s">
        <v>334</v>
      </c>
      <c r="AO22" s="60">
        <f t="shared" si="8"/>
        <v>40293</v>
      </c>
      <c r="AP22" s="60">
        <f t="shared" si="4"/>
        <v>40299</v>
      </c>
      <c r="AQ22" s="60">
        <v>17</v>
      </c>
      <c r="AR22" s="60" t="str">
        <f t="shared" si="5"/>
        <v>2010w17</v>
      </c>
      <c r="AS22" s="309"/>
      <c r="AT22" s="309"/>
      <c r="AU22" s="38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82">
        <v>19</v>
      </c>
      <c r="BK22" s="83" t="s">
        <v>179</v>
      </c>
      <c r="BL22" s="62" t="s">
        <v>260</v>
      </c>
      <c r="BM22" s="62" t="s">
        <v>79</v>
      </c>
      <c r="BN22" s="83" t="s">
        <v>194</v>
      </c>
      <c r="BO22" s="62" t="s">
        <v>328</v>
      </c>
      <c r="BP22" s="62" t="s">
        <v>329</v>
      </c>
    </row>
    <row r="23" spans="1:68" ht="12.75" customHeight="1">
      <c r="A23" s="309"/>
      <c r="B23" s="309"/>
      <c r="C23" s="309"/>
      <c r="D23" s="309"/>
      <c r="E23" s="309"/>
      <c r="F23" s="309"/>
      <c r="G23" s="309"/>
      <c r="H23" s="309"/>
      <c r="I23" s="26"/>
      <c r="J23" s="26"/>
      <c r="K23" s="26"/>
      <c r="L23" s="26"/>
      <c r="M23" s="26"/>
      <c r="N23" s="26"/>
      <c r="O23" s="26"/>
      <c r="P23" s="26"/>
      <c r="Q23" s="9" t="str">
        <f t="shared" si="2"/>
        <v>Telvista-Mexico City</v>
      </c>
      <c r="R23" s="31">
        <v>21</v>
      </c>
      <c r="S23" s="31" t="s">
        <v>335</v>
      </c>
      <c r="T23" s="31" t="s">
        <v>336</v>
      </c>
      <c r="U23" s="9" t="s">
        <v>175</v>
      </c>
      <c r="V23" s="9" t="s">
        <v>324</v>
      </c>
      <c r="W23" s="9" t="s">
        <v>202</v>
      </c>
      <c r="X23" s="9" t="s">
        <v>203</v>
      </c>
      <c r="Y23" s="9" t="s">
        <v>203</v>
      </c>
      <c r="Z23" s="9"/>
      <c r="AA23" s="9"/>
      <c r="AB23" s="9"/>
      <c r="AC23" s="9"/>
      <c r="AD23" s="9"/>
      <c r="AE23" s="38" t="str">
        <f t="shared" si="3"/>
        <v>RMO Tech Support</v>
      </c>
      <c r="AF23" s="39" t="s">
        <v>334</v>
      </c>
      <c r="AG23" s="39" t="s">
        <v>337</v>
      </c>
      <c r="AH23" s="39" t="s">
        <v>137</v>
      </c>
      <c r="AI23" s="39" t="s">
        <v>144</v>
      </c>
      <c r="AJ23" s="39" t="s">
        <v>205</v>
      </c>
      <c r="AK23" s="39" t="s">
        <v>170</v>
      </c>
      <c r="AL23" s="47" t="s">
        <v>171</v>
      </c>
      <c r="AM23" s="48">
        <v>21</v>
      </c>
      <c r="AN23" s="297" t="s">
        <v>338</v>
      </c>
      <c r="AO23" s="60">
        <f t="shared" si="8"/>
        <v>40300</v>
      </c>
      <c r="AP23" s="60">
        <f t="shared" si="4"/>
        <v>40306</v>
      </c>
      <c r="AQ23" s="60">
        <v>18</v>
      </c>
      <c r="AR23" s="60" t="str">
        <f t="shared" si="5"/>
        <v>2010w18</v>
      </c>
      <c r="AS23" s="309"/>
      <c r="AT23" s="309"/>
      <c r="AU23" s="38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82">
        <v>20</v>
      </c>
      <c r="BK23" s="83" t="s">
        <v>179</v>
      </c>
      <c r="BL23" s="62" t="s">
        <v>339</v>
      </c>
      <c r="BM23" s="62" t="s">
        <v>243</v>
      </c>
      <c r="BN23" s="83" t="s">
        <v>194</v>
      </c>
      <c r="BO23" s="62" t="s">
        <v>328</v>
      </c>
      <c r="BP23" s="62" t="s">
        <v>329</v>
      </c>
    </row>
    <row r="24" spans="1:68" ht="12.75" customHeight="1">
      <c r="A24" s="309"/>
      <c r="B24" s="309"/>
      <c r="C24" s="309"/>
      <c r="D24" s="309"/>
      <c r="E24" s="309"/>
      <c r="F24" s="309"/>
      <c r="G24" s="309"/>
      <c r="H24" s="309"/>
      <c r="I24" s="2"/>
      <c r="J24" s="2"/>
      <c r="K24" s="2"/>
      <c r="L24" s="2"/>
      <c r="M24" s="2"/>
      <c r="N24" s="2"/>
      <c r="O24" s="2"/>
      <c r="P24" s="2"/>
      <c r="Q24" s="9" t="str">
        <f t="shared" si="2"/>
        <v>VXI-Makati</v>
      </c>
      <c r="R24" s="31">
        <v>22</v>
      </c>
      <c r="S24" s="31" t="s">
        <v>340</v>
      </c>
      <c r="T24" s="31" t="s">
        <v>341</v>
      </c>
      <c r="U24" s="9" t="s">
        <v>175</v>
      </c>
      <c r="V24" s="9" t="s">
        <v>342</v>
      </c>
      <c r="W24" s="9" t="s">
        <v>343</v>
      </c>
      <c r="X24" s="9" t="s">
        <v>147</v>
      </c>
      <c r="Y24" s="9" t="s">
        <v>147</v>
      </c>
      <c r="Z24" s="9"/>
      <c r="AA24" s="9"/>
      <c r="AB24" s="9"/>
      <c r="AC24" s="9"/>
      <c r="AD24" s="9"/>
      <c r="AE24" s="38" t="str">
        <f t="shared" si="3"/>
        <v>Telegiro</v>
      </c>
      <c r="AF24" s="40" t="s">
        <v>338</v>
      </c>
      <c r="AG24" s="50" t="s">
        <v>344</v>
      </c>
      <c r="AH24" s="40" t="s">
        <v>137</v>
      </c>
      <c r="AI24" s="40" t="s">
        <v>257</v>
      </c>
      <c r="AJ24" s="40" t="s">
        <v>150</v>
      </c>
      <c r="AK24" s="40" t="s">
        <v>229</v>
      </c>
      <c r="AL24" s="49" t="s">
        <v>171</v>
      </c>
      <c r="AM24" s="48">
        <v>22</v>
      </c>
      <c r="AN24" s="297" t="s">
        <v>345</v>
      </c>
      <c r="AO24" s="60">
        <f t="shared" si="8"/>
        <v>40307</v>
      </c>
      <c r="AP24" s="60">
        <f t="shared" si="4"/>
        <v>40313</v>
      </c>
      <c r="AQ24" s="60">
        <v>19</v>
      </c>
      <c r="AR24" s="60" t="str">
        <f t="shared" si="5"/>
        <v>2010w19</v>
      </c>
      <c r="AS24" s="309"/>
      <c r="AT24" s="309"/>
      <c r="AU24" s="38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82">
        <v>21</v>
      </c>
      <c r="BK24" s="83" t="s">
        <v>194</v>
      </c>
      <c r="BL24" s="62" t="s">
        <v>328</v>
      </c>
      <c r="BM24" s="62" t="s">
        <v>329</v>
      </c>
      <c r="BN24" s="83" t="s">
        <v>194</v>
      </c>
      <c r="BO24" s="62" t="s">
        <v>328</v>
      </c>
      <c r="BP24" s="62" t="s">
        <v>329</v>
      </c>
    </row>
    <row r="25" spans="1:68" ht="12.75" customHeight="1">
      <c r="A25" s="309"/>
      <c r="B25" s="309"/>
      <c r="C25" s="309"/>
      <c r="D25" s="309"/>
      <c r="E25" s="309"/>
      <c r="F25" s="309"/>
      <c r="G25" s="309"/>
      <c r="H25" s="309"/>
      <c r="I25" s="2"/>
      <c r="J25" s="2"/>
      <c r="K25" s="2"/>
      <c r="L25" s="2"/>
      <c r="M25" s="2"/>
      <c r="N25" s="2"/>
      <c r="O25" s="2"/>
      <c r="P25" s="2"/>
      <c r="Q25" s="9" t="str">
        <f t="shared" si="2"/>
        <v>VXI-Shanghai</v>
      </c>
      <c r="R25" s="31">
        <v>23</v>
      </c>
      <c r="S25" s="31" t="s">
        <v>346</v>
      </c>
      <c r="T25" s="31" t="s">
        <v>347</v>
      </c>
      <c r="U25" s="9" t="s">
        <v>175</v>
      </c>
      <c r="V25" s="9" t="s">
        <v>342</v>
      </c>
      <c r="W25" s="9" t="s">
        <v>348</v>
      </c>
      <c r="X25" s="9" t="s">
        <v>349</v>
      </c>
      <c r="Y25" s="9" t="s">
        <v>349</v>
      </c>
      <c r="Z25" s="9"/>
      <c r="AA25" s="9"/>
      <c r="AB25" s="9"/>
      <c r="AC25" s="9"/>
      <c r="AD25" s="9"/>
      <c r="AE25" s="38" t="str">
        <f t="shared" si="3"/>
        <v>TMT</v>
      </c>
      <c r="AF25" s="39" t="s">
        <v>345</v>
      </c>
      <c r="AG25" s="39" t="s">
        <v>350</v>
      </c>
      <c r="AH25" s="39" t="s">
        <v>137</v>
      </c>
      <c r="AI25" s="39" t="s">
        <v>144</v>
      </c>
      <c r="AJ25" s="39" t="s">
        <v>150</v>
      </c>
      <c r="AK25" s="39" t="s">
        <v>229</v>
      </c>
      <c r="AL25" s="47" t="s">
        <v>171</v>
      </c>
      <c r="AM25" s="48">
        <v>23</v>
      </c>
      <c r="AN25" s="297" t="s">
        <v>351</v>
      </c>
      <c r="AO25" s="60">
        <f t="shared" si="8"/>
        <v>40314</v>
      </c>
      <c r="AP25" s="60">
        <f t="shared" si="4"/>
        <v>40320</v>
      </c>
      <c r="AQ25" s="60">
        <v>20</v>
      </c>
      <c r="AR25" s="60" t="str">
        <f t="shared" si="5"/>
        <v>2010w20</v>
      </c>
      <c r="AS25" s="309"/>
      <c r="AT25" s="309"/>
      <c r="AU25" s="38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82">
        <v>22</v>
      </c>
      <c r="BK25" s="83" t="s">
        <v>194</v>
      </c>
      <c r="BL25" s="62" t="s">
        <v>328</v>
      </c>
      <c r="BM25" s="62" t="s">
        <v>329</v>
      </c>
      <c r="BN25" s="83" t="s">
        <v>194</v>
      </c>
      <c r="BO25" s="62" t="s">
        <v>328</v>
      </c>
      <c r="BP25" s="62" t="s">
        <v>329</v>
      </c>
    </row>
    <row r="26" spans="1:68" ht="12.75" customHeight="1">
      <c r="A26" s="309"/>
      <c r="B26" s="309"/>
      <c r="C26" s="309"/>
      <c r="D26" s="309"/>
      <c r="E26" s="309"/>
      <c r="F26" s="309"/>
      <c r="G26" s="309"/>
      <c r="H26" s="309"/>
      <c r="I26" s="9"/>
      <c r="J26" s="9"/>
      <c r="K26" s="9"/>
      <c r="L26" s="9"/>
      <c r="M26" s="9"/>
      <c r="N26" s="9"/>
      <c r="O26" s="9"/>
      <c r="P26" s="9"/>
      <c r="Q26" s="9" t="str">
        <f t="shared" si="2"/>
        <v>Undefined</v>
      </c>
      <c r="R26" s="31">
        <v>24</v>
      </c>
      <c r="S26" s="31" t="s">
        <v>352</v>
      </c>
      <c r="T26" s="31" t="s">
        <v>353</v>
      </c>
      <c r="U26" s="9" t="s">
        <v>353</v>
      </c>
      <c r="V26" s="9" t="s">
        <v>353</v>
      </c>
      <c r="W26" s="9" t="s">
        <v>353</v>
      </c>
      <c r="X26" s="9" t="s">
        <v>353</v>
      </c>
      <c r="Y26" s="9" t="s">
        <v>353</v>
      </c>
      <c r="Z26" s="9"/>
      <c r="AA26" s="9"/>
      <c r="AB26" s="9"/>
      <c r="AC26" s="9"/>
      <c r="AD26" s="9"/>
      <c r="AE26" s="38" t="str">
        <f t="shared" si="3"/>
        <v>TMT Validation</v>
      </c>
      <c r="AF26" s="40" t="s">
        <v>351</v>
      </c>
      <c r="AG26" s="40" t="s">
        <v>354</v>
      </c>
      <c r="AH26" s="40" t="s">
        <v>137</v>
      </c>
      <c r="AI26" s="40" t="s">
        <v>144</v>
      </c>
      <c r="AJ26" s="40" t="s">
        <v>150</v>
      </c>
      <c r="AK26" s="40" t="s">
        <v>229</v>
      </c>
      <c r="AL26" s="49" t="s">
        <v>171</v>
      </c>
      <c r="AM26" s="48">
        <v>24</v>
      </c>
      <c r="AN26" s="297" t="s">
        <v>355</v>
      </c>
      <c r="AO26" s="60">
        <f t="shared" si="8"/>
        <v>40321</v>
      </c>
      <c r="AP26" s="60">
        <f t="shared" si="4"/>
        <v>40327</v>
      </c>
      <c r="AQ26" s="60">
        <v>21</v>
      </c>
      <c r="AR26" s="60" t="str">
        <f t="shared" si="5"/>
        <v>2010w21</v>
      </c>
      <c r="AS26" s="309"/>
      <c r="AT26" s="309"/>
      <c r="AU26" s="38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82">
        <v>23</v>
      </c>
      <c r="BK26" s="83" t="s">
        <v>194</v>
      </c>
      <c r="BL26" s="62" t="s">
        <v>328</v>
      </c>
      <c r="BM26" s="62" t="s">
        <v>329</v>
      </c>
      <c r="BN26" s="83" t="s">
        <v>194</v>
      </c>
      <c r="BO26" s="62" t="s">
        <v>328</v>
      </c>
      <c r="BP26" s="62" t="s">
        <v>329</v>
      </c>
    </row>
    <row r="27" spans="1:68" ht="12.75" customHeight="1">
      <c r="A27" s="309"/>
      <c r="B27" s="309"/>
      <c r="C27" s="309"/>
      <c r="D27" s="309"/>
      <c r="E27" s="309"/>
      <c r="F27" s="309"/>
      <c r="G27" s="309"/>
      <c r="H27" s="309"/>
      <c r="I27" s="9"/>
      <c r="J27" s="9"/>
      <c r="K27" s="9"/>
      <c r="L27" s="9"/>
      <c r="M27" s="9"/>
      <c r="N27" s="9"/>
      <c r="O27" s="9"/>
      <c r="P27" s="9"/>
      <c r="Q27" s="9" t="str">
        <f t="shared" si="2"/>
        <v>South Seas</v>
      </c>
      <c r="R27" s="31">
        <v>25</v>
      </c>
      <c r="S27" s="31" t="s">
        <v>356</v>
      </c>
      <c r="T27" s="31" t="s">
        <v>357</v>
      </c>
      <c r="U27" s="9" t="s">
        <v>175</v>
      </c>
      <c r="V27" s="9" t="s">
        <v>357</v>
      </c>
      <c r="W27" s="9" t="s">
        <v>358</v>
      </c>
      <c r="X27" s="9" t="s">
        <v>275</v>
      </c>
      <c r="Y27" s="9" t="s">
        <v>275</v>
      </c>
      <c r="Z27" s="9"/>
      <c r="AA27" s="9"/>
      <c r="AB27" s="9"/>
      <c r="AC27" s="9"/>
      <c r="AD27" s="9"/>
      <c r="AE27" s="38" t="str">
        <f t="shared" si="3"/>
        <v>Vigo CS</v>
      </c>
      <c r="AF27" s="39" t="s">
        <v>355</v>
      </c>
      <c r="AG27" s="39" t="s">
        <v>359</v>
      </c>
      <c r="AH27" s="39" t="s">
        <v>137</v>
      </c>
      <c r="AI27" s="39" t="s">
        <v>266</v>
      </c>
      <c r="AJ27" s="39" t="s">
        <v>150</v>
      </c>
      <c r="AK27" s="39" t="s">
        <v>206</v>
      </c>
      <c r="AL27" s="47" t="s">
        <v>171</v>
      </c>
      <c r="AM27" s="48">
        <v>25</v>
      </c>
      <c r="AN27" s="297" t="s">
        <v>360</v>
      </c>
      <c r="AO27" s="60">
        <f t="shared" si="8"/>
        <v>40328</v>
      </c>
      <c r="AP27" s="60">
        <f t="shared" si="4"/>
        <v>40334</v>
      </c>
      <c r="AQ27" s="60">
        <v>22</v>
      </c>
      <c r="AR27" s="60" t="str">
        <f t="shared" si="5"/>
        <v>2010w22</v>
      </c>
      <c r="AS27" s="309"/>
      <c r="AT27" s="309"/>
      <c r="AU27" s="38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82">
        <v>24</v>
      </c>
      <c r="BK27" s="83" t="s">
        <v>194</v>
      </c>
      <c r="BL27" s="62" t="s">
        <v>328</v>
      </c>
      <c r="BM27" s="62" t="s">
        <v>329</v>
      </c>
      <c r="BN27" s="83" t="s">
        <v>194</v>
      </c>
      <c r="BO27" s="62" t="s">
        <v>328</v>
      </c>
      <c r="BP27" s="62" t="s">
        <v>329</v>
      </c>
    </row>
    <row r="28" spans="1:68" ht="12.75" customHeight="1">
      <c r="A28" s="309"/>
      <c r="B28" s="309"/>
      <c r="C28" s="309"/>
      <c r="D28" s="309"/>
      <c r="E28" s="309"/>
      <c r="F28" s="309"/>
      <c r="G28" s="309"/>
      <c r="H28" s="309"/>
      <c r="I28" s="9"/>
      <c r="J28" s="9"/>
      <c r="K28" s="9"/>
      <c r="L28" s="9"/>
      <c r="M28" s="9"/>
      <c r="N28" s="9"/>
      <c r="O28" s="9"/>
      <c r="P28" s="9"/>
      <c r="Q28" s="9" t="str">
        <f t="shared" si="2"/>
        <v>Transcom</v>
      </c>
      <c r="R28" s="31">
        <v>26</v>
      </c>
      <c r="S28" s="31" t="s">
        <v>361</v>
      </c>
      <c r="T28" s="31" t="s">
        <v>362</v>
      </c>
      <c r="U28" s="9" t="s">
        <v>175</v>
      </c>
      <c r="V28" s="9" t="s">
        <v>362</v>
      </c>
      <c r="W28" s="9" t="s">
        <v>362</v>
      </c>
      <c r="X28" s="32" t="s">
        <v>363</v>
      </c>
      <c r="Y28" s="9" t="s">
        <v>362</v>
      </c>
      <c r="Z28" s="9"/>
      <c r="AA28" s="9"/>
      <c r="AB28" s="9"/>
      <c r="AC28" s="9"/>
      <c r="AD28" s="9"/>
      <c r="AE28" s="38" t="str">
        <f t="shared" si="3"/>
        <v>Vigo Directo</v>
      </c>
      <c r="AF28" s="40" t="s">
        <v>360</v>
      </c>
      <c r="AG28" s="50" t="s">
        <v>364</v>
      </c>
      <c r="AH28" s="40" t="s">
        <v>137</v>
      </c>
      <c r="AI28" s="40" t="s">
        <v>266</v>
      </c>
      <c r="AJ28" s="40" t="s">
        <v>150</v>
      </c>
      <c r="AK28" s="40" t="s">
        <v>229</v>
      </c>
      <c r="AL28" s="49" t="s">
        <v>171</v>
      </c>
      <c r="AM28" s="48">
        <v>26</v>
      </c>
      <c r="AN28" s="297" t="s">
        <v>365</v>
      </c>
      <c r="AO28" s="60">
        <f t="shared" si="8"/>
        <v>40335</v>
      </c>
      <c r="AP28" s="60">
        <f t="shared" si="4"/>
        <v>40341</v>
      </c>
      <c r="AQ28" s="60">
        <v>23</v>
      </c>
      <c r="AR28" s="60" t="str">
        <f t="shared" si="5"/>
        <v>2010w23</v>
      </c>
      <c r="AS28" s="309"/>
      <c r="AT28" s="309"/>
      <c r="AU28" s="38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82">
        <v>25</v>
      </c>
      <c r="BK28" s="83" t="s">
        <v>194</v>
      </c>
      <c r="BL28" s="62" t="s">
        <v>328</v>
      </c>
      <c r="BM28" s="62" t="s">
        <v>329</v>
      </c>
      <c r="BN28" s="83" t="s">
        <v>194</v>
      </c>
      <c r="BO28" s="62" t="s">
        <v>328</v>
      </c>
      <c r="BP28" s="62" t="s">
        <v>329</v>
      </c>
    </row>
    <row r="29" spans="1:68" ht="12.75" customHeight="1">
      <c r="A29" s="309"/>
      <c r="B29" s="309"/>
      <c r="C29" s="309"/>
      <c r="D29" s="309"/>
      <c r="E29" s="309"/>
      <c r="F29" s="309"/>
      <c r="G29" s="309"/>
      <c r="H29" s="309"/>
      <c r="I29" s="9"/>
      <c r="J29" s="9"/>
      <c r="K29" s="9"/>
      <c r="L29" s="9"/>
      <c r="M29" s="9"/>
      <c r="N29" s="9"/>
      <c r="O29" s="9"/>
      <c r="P29" s="9"/>
      <c r="Q29" s="9" t="str">
        <f t="shared" si="2"/>
        <v>Transcom-Riga</v>
      </c>
      <c r="R29" s="31">
        <v>27</v>
      </c>
      <c r="S29" s="31" t="s">
        <v>366</v>
      </c>
      <c r="T29" s="31" t="s">
        <v>367</v>
      </c>
      <c r="U29" s="9" t="s">
        <v>175</v>
      </c>
      <c r="V29" s="9" t="s">
        <v>362</v>
      </c>
      <c r="W29" s="9" t="s">
        <v>368</v>
      </c>
      <c r="X29" s="32" t="s">
        <v>369</v>
      </c>
      <c r="Y29" s="9" t="s">
        <v>367</v>
      </c>
      <c r="Z29" s="9"/>
      <c r="AA29" s="9"/>
      <c r="AB29" s="9"/>
      <c r="AC29" s="9"/>
      <c r="AD29" s="9"/>
      <c r="AE29" s="38" t="str">
        <f t="shared" si="3"/>
        <v>WU.com USA/Canada</v>
      </c>
      <c r="AF29" s="39" t="s">
        <v>365</v>
      </c>
      <c r="AG29" s="39" t="s">
        <v>370</v>
      </c>
      <c r="AH29" s="39" t="s">
        <v>137</v>
      </c>
      <c r="AI29" s="39" t="s">
        <v>144</v>
      </c>
      <c r="AJ29" s="39" t="s">
        <v>150</v>
      </c>
      <c r="AK29" s="39" t="s">
        <v>229</v>
      </c>
      <c r="AL29" s="47" t="s">
        <v>171</v>
      </c>
      <c r="AM29" s="48">
        <v>27</v>
      </c>
      <c r="AN29" s="297" t="s">
        <v>371</v>
      </c>
      <c r="AO29" s="60">
        <f t="shared" si="8"/>
        <v>40342</v>
      </c>
      <c r="AP29" s="60">
        <f t="shared" si="4"/>
        <v>40348</v>
      </c>
      <c r="AQ29" s="60">
        <v>24</v>
      </c>
      <c r="AR29" s="60" t="str">
        <f t="shared" si="5"/>
        <v>2010w24</v>
      </c>
      <c r="AS29" s="309"/>
      <c r="AT29" s="309"/>
      <c r="AU29" s="38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82">
        <v>26</v>
      </c>
      <c r="BK29" s="83" t="s">
        <v>194</v>
      </c>
      <c r="BL29" s="62" t="s">
        <v>328</v>
      </c>
      <c r="BM29" s="62" t="s">
        <v>329</v>
      </c>
      <c r="BN29" s="83" t="s">
        <v>194</v>
      </c>
      <c r="BO29" s="62" t="s">
        <v>328</v>
      </c>
      <c r="BP29" s="62" t="s">
        <v>329</v>
      </c>
    </row>
    <row r="30" spans="1:68" ht="12.75" customHeight="1">
      <c r="A30" s="309"/>
      <c r="B30" s="309"/>
      <c r="C30" s="309"/>
      <c r="D30" s="309"/>
      <c r="E30" s="309"/>
      <c r="F30" s="309"/>
      <c r="G30" s="309"/>
      <c r="H30" s="309"/>
      <c r="I30" s="9"/>
      <c r="J30" s="9"/>
      <c r="K30" s="9"/>
      <c r="L30" s="9"/>
      <c r="M30" s="9"/>
      <c r="N30" s="9"/>
      <c r="O30" s="9"/>
      <c r="P30" s="9"/>
      <c r="Q30" s="9" t="str">
        <f t="shared" si="2"/>
        <v>Transcom-Vilnius</v>
      </c>
      <c r="R30" s="31">
        <v>28</v>
      </c>
      <c r="S30" s="31" t="s">
        <v>372</v>
      </c>
      <c r="T30" s="31" t="s">
        <v>373</v>
      </c>
      <c r="U30" s="9" t="s">
        <v>175</v>
      </c>
      <c r="V30" s="9" t="s">
        <v>362</v>
      </c>
      <c r="W30" s="9" t="s">
        <v>167</v>
      </c>
      <c r="X30" s="32" t="s">
        <v>168</v>
      </c>
      <c r="Y30" s="9" t="s">
        <v>373</v>
      </c>
      <c r="Z30" s="9"/>
      <c r="AA30" s="9"/>
      <c r="AB30" s="9"/>
      <c r="AC30" s="9"/>
      <c r="AD30" s="9"/>
      <c r="AE30" s="38" t="str">
        <f t="shared" si="3"/>
        <v>SAM</v>
      </c>
      <c r="AF30" s="40" t="s">
        <v>371</v>
      </c>
      <c r="AG30" s="40" t="s">
        <v>374</v>
      </c>
      <c r="AH30" s="40" t="s">
        <v>137</v>
      </c>
      <c r="AI30" s="40" t="s">
        <v>144</v>
      </c>
      <c r="AJ30" s="40" t="s">
        <v>150</v>
      </c>
      <c r="AK30" s="40" t="s">
        <v>151</v>
      </c>
      <c r="AL30" s="49" t="s">
        <v>171</v>
      </c>
      <c r="AM30" s="48">
        <v>28</v>
      </c>
      <c r="AN30" s="297" t="s">
        <v>375</v>
      </c>
      <c r="AO30" s="60">
        <f t="shared" si="8"/>
        <v>40349</v>
      </c>
      <c r="AP30" s="60">
        <f t="shared" si="4"/>
        <v>40355</v>
      </c>
      <c r="AQ30" s="60">
        <v>25</v>
      </c>
      <c r="AR30" s="60" t="str">
        <f t="shared" si="5"/>
        <v>2010w25</v>
      </c>
      <c r="AS30" s="309"/>
      <c r="AT30" s="309"/>
      <c r="AU30" s="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82">
        <v>27</v>
      </c>
      <c r="BK30" s="83" t="s">
        <v>194</v>
      </c>
      <c r="BL30" s="62" t="s">
        <v>328</v>
      </c>
      <c r="BM30" s="62" t="s">
        <v>329</v>
      </c>
      <c r="BN30" s="83" t="s">
        <v>194</v>
      </c>
      <c r="BO30" s="62" t="s">
        <v>328</v>
      </c>
      <c r="BP30" s="62" t="s">
        <v>329</v>
      </c>
    </row>
    <row r="31" spans="1:68" ht="12.75" customHeight="1">
      <c r="A31" s="309"/>
      <c r="B31" s="309"/>
      <c r="C31" s="309"/>
      <c r="D31" s="309"/>
      <c r="E31" s="309"/>
      <c r="F31" s="309"/>
      <c r="G31" s="309"/>
      <c r="H31" s="9"/>
      <c r="I31" s="2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32"/>
      <c r="Y31" s="9"/>
      <c r="Z31" s="9"/>
      <c r="AA31" s="9"/>
      <c r="AB31" s="9"/>
      <c r="AC31" s="9"/>
      <c r="AD31" s="9"/>
      <c r="AE31" s="38" t="str">
        <f t="shared" si="3"/>
        <v>Core Product</v>
      </c>
      <c r="AF31" s="39" t="s">
        <v>375</v>
      </c>
      <c r="AG31" s="39" t="s">
        <v>376</v>
      </c>
      <c r="AH31" s="39" t="s">
        <v>137</v>
      </c>
      <c r="AI31" s="39" t="s">
        <v>144</v>
      </c>
      <c r="AJ31" s="39" t="s">
        <v>150</v>
      </c>
      <c r="AK31" s="39" t="s">
        <v>206</v>
      </c>
      <c r="AL31" s="47" t="s">
        <v>171</v>
      </c>
      <c r="AM31" s="48">
        <v>29</v>
      </c>
      <c r="AN31" s="297" t="s">
        <v>377</v>
      </c>
      <c r="AO31" s="60">
        <f t="shared" si="8"/>
        <v>40356</v>
      </c>
      <c r="AP31" s="60">
        <f t="shared" si="4"/>
        <v>40362</v>
      </c>
      <c r="AQ31" s="60">
        <v>26</v>
      </c>
      <c r="AR31" s="60" t="str">
        <f t="shared" si="5"/>
        <v>2010w26</v>
      </c>
      <c r="AS31" s="309"/>
      <c r="AT31" s="309"/>
      <c r="AU31" s="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82">
        <v>28</v>
      </c>
      <c r="BK31" s="83" t="s">
        <v>194</v>
      </c>
      <c r="BL31" s="62" t="s">
        <v>328</v>
      </c>
      <c r="BM31" s="62" t="s">
        <v>329</v>
      </c>
      <c r="BN31" s="83" t="s">
        <v>194</v>
      </c>
      <c r="BO31" s="62" t="s">
        <v>328</v>
      </c>
      <c r="BP31" s="62" t="s">
        <v>329</v>
      </c>
    </row>
    <row r="32" spans="1:68" ht="12.75" customHeight="1">
      <c r="A32" s="309"/>
      <c r="B32" s="309"/>
      <c r="C32" s="309"/>
      <c r="D32" s="309"/>
      <c r="E32" s="309"/>
      <c r="F32" s="309"/>
      <c r="G32" s="309"/>
      <c r="H32" s="19"/>
      <c r="I32" s="2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32"/>
      <c r="Y32" s="9"/>
      <c r="Z32" s="9"/>
      <c r="AA32" s="9"/>
      <c r="AB32" s="9"/>
      <c r="AC32" s="9"/>
      <c r="AD32" s="9"/>
      <c r="AE32" s="38" t="str">
        <f t="shared" si="3"/>
        <v>Compliance</v>
      </c>
      <c r="AF32" s="40" t="s">
        <v>377</v>
      </c>
      <c r="AG32" s="40" t="s">
        <v>378</v>
      </c>
      <c r="AH32" s="40" t="s">
        <v>137</v>
      </c>
      <c r="AI32" s="40" t="s">
        <v>144</v>
      </c>
      <c r="AJ32" s="40" t="s">
        <v>150</v>
      </c>
      <c r="AK32" s="40" t="s">
        <v>229</v>
      </c>
      <c r="AL32" s="49" t="s">
        <v>152</v>
      </c>
      <c r="AM32" s="48">
        <v>30</v>
      </c>
      <c r="AN32" s="297" t="s">
        <v>379</v>
      </c>
      <c r="AO32" s="60">
        <f t="shared" si="8"/>
        <v>40363</v>
      </c>
      <c r="AP32" s="60">
        <f t="shared" si="4"/>
        <v>40369</v>
      </c>
      <c r="AQ32" s="60">
        <v>27</v>
      </c>
      <c r="AR32" s="60" t="str">
        <f t="shared" si="5"/>
        <v>2010w27</v>
      </c>
      <c r="AS32" s="309"/>
      <c r="AT32" s="309"/>
      <c r="AU32" s="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82">
        <v>29</v>
      </c>
      <c r="BK32" s="83" t="s">
        <v>194</v>
      </c>
      <c r="BL32" s="62" t="s">
        <v>328</v>
      </c>
      <c r="BM32" s="62" t="s">
        <v>329</v>
      </c>
      <c r="BN32" s="83" t="s">
        <v>194</v>
      </c>
      <c r="BO32" s="62" t="s">
        <v>328</v>
      </c>
      <c r="BP32" s="62" t="s">
        <v>329</v>
      </c>
    </row>
    <row r="33" spans="8:68" ht="12.75" customHeight="1">
      <c r="H33" s="19"/>
      <c r="I33" s="2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32"/>
      <c r="Y33" s="9"/>
      <c r="Z33" s="9"/>
      <c r="AA33" s="9"/>
      <c r="AB33" s="9"/>
      <c r="AC33" s="9"/>
      <c r="AD33" s="9"/>
      <c r="AE33" s="38" t="str">
        <f t="shared" si="3"/>
        <v>OV/Vigo IAS</v>
      </c>
      <c r="AF33" s="39" t="s">
        <v>379</v>
      </c>
      <c r="AG33" s="39" t="s">
        <v>380</v>
      </c>
      <c r="AH33" s="39" t="s">
        <v>137</v>
      </c>
      <c r="AI33" s="39" t="s">
        <v>266</v>
      </c>
      <c r="AJ33" s="39" t="s">
        <v>150</v>
      </c>
      <c r="AK33" s="39" t="s">
        <v>170</v>
      </c>
      <c r="AL33" s="47" t="s">
        <v>171</v>
      </c>
      <c r="AM33" s="48">
        <v>31</v>
      </c>
      <c r="AN33" s="297" t="s">
        <v>381</v>
      </c>
      <c r="AO33" s="60">
        <f t="shared" si="8"/>
        <v>40370</v>
      </c>
      <c r="AP33" s="60">
        <f t="shared" si="4"/>
        <v>40376</v>
      </c>
      <c r="AQ33" s="60">
        <v>28</v>
      </c>
      <c r="AR33" s="60" t="str">
        <f t="shared" si="5"/>
        <v>2010w28</v>
      </c>
      <c r="AS33" s="309"/>
      <c r="AT33" s="309"/>
      <c r="AU33" s="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82">
        <v>30</v>
      </c>
      <c r="BK33" s="83" t="s">
        <v>194</v>
      </c>
      <c r="BL33" s="62" t="s">
        <v>328</v>
      </c>
      <c r="BM33" s="62" t="s">
        <v>329</v>
      </c>
      <c r="BN33" s="83" t="s">
        <v>194</v>
      </c>
      <c r="BO33" s="62" t="s">
        <v>328</v>
      </c>
      <c r="BP33" s="62" t="s">
        <v>329</v>
      </c>
    </row>
    <row r="34" spans="8:68" ht="12.75" customHeight="1">
      <c r="H34" s="19"/>
      <c r="I34" s="2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32"/>
      <c r="Y34" s="9"/>
      <c r="Z34" s="9"/>
      <c r="AA34" s="9"/>
      <c r="AB34" s="9"/>
      <c r="AC34" s="9"/>
      <c r="AD34" s="9"/>
      <c r="AE34" s="38" t="str">
        <f t="shared" si="3"/>
        <v>WUFSI Legacy</v>
      </c>
      <c r="AF34" s="40" t="s">
        <v>381</v>
      </c>
      <c r="AG34" s="40" t="s">
        <v>382</v>
      </c>
      <c r="AH34" s="40" t="s">
        <v>137</v>
      </c>
      <c r="AI34" s="40" t="s">
        <v>144</v>
      </c>
      <c r="AJ34" s="40" t="s">
        <v>150</v>
      </c>
      <c r="AK34" s="40" t="s">
        <v>151</v>
      </c>
      <c r="AL34" s="49" t="s">
        <v>152</v>
      </c>
      <c r="AM34" s="48">
        <v>32</v>
      </c>
      <c r="AN34" s="297" t="s">
        <v>383</v>
      </c>
      <c r="AO34" s="60">
        <f t="shared" si="8"/>
        <v>40377</v>
      </c>
      <c r="AP34" s="60">
        <f t="shared" si="4"/>
        <v>40383</v>
      </c>
      <c r="AQ34" s="60">
        <v>29</v>
      </c>
      <c r="AR34" s="60" t="str">
        <f t="shared" si="5"/>
        <v>2010w29</v>
      </c>
      <c r="AS34" s="309"/>
      <c r="AT34" s="309"/>
      <c r="AU34" s="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</row>
    <row r="35" spans="8:68" ht="12.75" customHeight="1">
      <c r="H35" s="19"/>
      <c r="I35" s="2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32"/>
      <c r="Y35" s="9"/>
      <c r="Z35" s="9"/>
      <c r="AA35" s="9"/>
      <c r="AB35" s="9"/>
      <c r="AC35" s="9"/>
      <c r="AD35" s="9"/>
      <c r="AE35" s="38" t="str">
        <f t="shared" si="3"/>
        <v>DOSQ</v>
      </c>
      <c r="AF35" s="39" t="s">
        <v>383</v>
      </c>
      <c r="AG35" s="39" t="s">
        <v>384</v>
      </c>
      <c r="AH35" s="39" t="s">
        <v>137</v>
      </c>
      <c r="AI35" s="39" t="s">
        <v>144</v>
      </c>
      <c r="AJ35" s="39" t="s">
        <v>150</v>
      </c>
      <c r="AK35" s="39" t="s">
        <v>151</v>
      </c>
      <c r="AL35" s="47" t="s">
        <v>152</v>
      </c>
      <c r="AM35" s="48">
        <v>33</v>
      </c>
      <c r="AN35" s="297" t="s">
        <v>385</v>
      </c>
      <c r="AO35" s="60">
        <f t="shared" si="8"/>
        <v>40384</v>
      </c>
      <c r="AP35" s="60">
        <f t="shared" si="4"/>
        <v>40390</v>
      </c>
      <c r="AQ35" s="60">
        <v>30</v>
      </c>
      <c r="AR35" s="60" t="str">
        <f t="shared" si="5"/>
        <v>2010w30</v>
      </c>
      <c r="AS35" s="309"/>
      <c r="AT35" s="309"/>
      <c r="AU35" s="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</row>
    <row r="36" spans="8:68" ht="12.75" customHeight="1">
      <c r="H36" s="19"/>
      <c r="I36" s="2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32"/>
      <c r="Y36" s="9"/>
      <c r="Z36" s="9"/>
      <c r="AA36" s="9"/>
      <c r="AB36" s="9"/>
      <c r="AC36" s="9"/>
      <c r="AD36" s="9"/>
      <c r="AE36" s="38" t="str">
        <f t="shared" si="3"/>
        <v>Paymap EC (Non-Global Form)</v>
      </c>
      <c r="AF36" s="40" t="s">
        <v>385</v>
      </c>
      <c r="AG36" s="40" t="s">
        <v>386</v>
      </c>
      <c r="AH36" s="40" t="s">
        <v>137</v>
      </c>
      <c r="AI36" s="40" t="s">
        <v>144</v>
      </c>
      <c r="AJ36" s="40" t="s">
        <v>205</v>
      </c>
      <c r="AK36" s="40" t="s">
        <v>151</v>
      </c>
      <c r="AL36" s="49" t="s">
        <v>152</v>
      </c>
      <c r="AM36" s="48">
        <v>34</v>
      </c>
      <c r="AN36" s="297" t="s">
        <v>387</v>
      </c>
      <c r="AO36" s="60">
        <f t="shared" si="8"/>
        <v>40391</v>
      </c>
      <c r="AP36" s="60">
        <f t="shared" si="4"/>
        <v>40397</v>
      </c>
      <c r="AQ36" s="60">
        <v>31</v>
      </c>
      <c r="AR36" s="60" t="str">
        <f t="shared" si="5"/>
        <v>2010w31</v>
      </c>
      <c r="AS36" s="309"/>
      <c r="AT36" s="309"/>
      <c r="AU36" s="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</row>
    <row r="37" spans="8:68" ht="12.75" customHeight="1">
      <c r="H37" s="19"/>
      <c r="I37" s="27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32"/>
      <c r="Y37" s="9"/>
      <c r="Z37" s="9"/>
      <c r="AA37" s="9"/>
      <c r="AB37" s="9"/>
      <c r="AC37" s="9"/>
      <c r="AD37" s="9"/>
      <c r="AE37" s="38" t="str">
        <f t="shared" si="3"/>
        <v>LACA CSC</v>
      </c>
      <c r="AF37" s="39" t="s">
        <v>387</v>
      </c>
      <c r="AG37" s="39" t="s">
        <v>388</v>
      </c>
      <c r="AH37" s="39" t="s">
        <v>137</v>
      </c>
      <c r="AI37" s="39" t="s">
        <v>144</v>
      </c>
      <c r="AJ37" s="39" t="s">
        <v>150</v>
      </c>
      <c r="AK37" s="39" t="s">
        <v>206</v>
      </c>
      <c r="AL37" s="47" t="s">
        <v>171</v>
      </c>
      <c r="AM37" s="48">
        <v>35</v>
      </c>
      <c r="AN37" s="297" t="s">
        <v>389</v>
      </c>
      <c r="AO37" s="60">
        <f t="shared" si="8"/>
        <v>40398</v>
      </c>
      <c r="AP37" s="60">
        <f t="shared" si="4"/>
        <v>40404</v>
      </c>
      <c r="AQ37" s="60">
        <v>32</v>
      </c>
      <c r="AR37" s="60" t="str">
        <f t="shared" si="5"/>
        <v>2010w32</v>
      </c>
      <c r="AS37" s="309"/>
      <c r="AT37" s="309"/>
      <c r="AU37" s="9"/>
      <c r="AV37" s="309"/>
      <c r="AW37" s="309"/>
      <c r="AX37" s="309"/>
      <c r="AY37" s="309"/>
      <c r="AZ37" s="309"/>
      <c r="BA37" s="309"/>
      <c r="BB37" s="309"/>
      <c r="BC37" s="309"/>
      <c r="BD37" s="309"/>
      <c r="BE37" s="309"/>
      <c r="BF37" s="309"/>
      <c r="BG37" s="309"/>
      <c r="BH37" s="309"/>
      <c r="BI37" s="309"/>
      <c r="BJ37" s="309"/>
      <c r="BK37" s="309"/>
      <c r="BL37" s="309"/>
      <c r="BM37" s="309"/>
      <c r="BN37" s="309"/>
      <c r="BO37" s="309"/>
      <c r="BP37" s="309"/>
    </row>
    <row r="38" spans="8:68" ht="12.75" customHeight="1">
      <c r="H38" s="19"/>
      <c r="I38" s="27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32"/>
      <c r="Y38" s="9"/>
      <c r="Z38" s="9"/>
      <c r="AA38" s="9"/>
      <c r="AB38" s="9"/>
      <c r="AC38" s="9"/>
      <c r="AD38" s="9"/>
      <c r="AE38" s="38" t="str">
        <f t="shared" si="3"/>
        <v>Consumer Protection</v>
      </c>
      <c r="AF38" s="40" t="s">
        <v>389</v>
      </c>
      <c r="AG38" s="40" t="s">
        <v>390</v>
      </c>
      <c r="AH38" s="40" t="s">
        <v>137</v>
      </c>
      <c r="AI38" s="40" t="s">
        <v>144</v>
      </c>
      <c r="AJ38" s="40" t="s">
        <v>150</v>
      </c>
      <c r="AK38" s="40" t="s">
        <v>229</v>
      </c>
      <c r="AL38" s="49" t="s">
        <v>171</v>
      </c>
      <c r="AM38" s="48">
        <v>36</v>
      </c>
      <c r="AN38" s="297" t="s">
        <v>391</v>
      </c>
      <c r="AO38" s="60">
        <f t="shared" si="8"/>
        <v>40405</v>
      </c>
      <c r="AP38" s="60">
        <f t="shared" si="4"/>
        <v>40411</v>
      </c>
      <c r="AQ38" s="60">
        <v>33</v>
      </c>
      <c r="AR38" s="60" t="str">
        <f t="shared" si="5"/>
        <v>2010w33</v>
      </c>
      <c r="AS38" s="309"/>
      <c r="AT38" s="309"/>
      <c r="AU38" s="9"/>
      <c r="AV38" s="309"/>
      <c r="AW38" s="309"/>
      <c r="AX38" s="309"/>
      <c r="AY38" s="309"/>
      <c r="AZ38" s="309"/>
      <c r="BA38" s="309"/>
      <c r="BB38" s="309"/>
      <c r="BC38" s="309"/>
      <c r="BD38" s="309"/>
      <c r="BE38" s="309"/>
      <c r="BF38" s="309"/>
      <c r="BG38" s="309"/>
      <c r="BH38" s="309"/>
      <c r="BI38" s="309"/>
      <c r="BJ38" s="309"/>
      <c r="BK38" s="309"/>
      <c r="BL38" s="309"/>
      <c r="BM38" s="309"/>
      <c r="BN38" s="309"/>
      <c r="BO38" s="309"/>
      <c r="BP38" s="309"/>
    </row>
    <row r="39" spans="8:68" ht="12.75" customHeight="1">
      <c r="H39" s="19"/>
      <c r="I39" s="27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32"/>
      <c r="Y39" s="9"/>
      <c r="Z39" s="9"/>
      <c r="AA39" s="9"/>
      <c r="AB39" s="9"/>
      <c r="AC39" s="9"/>
      <c r="AD39" s="9"/>
      <c r="AE39" s="38" t="str">
        <f t="shared" si="3"/>
        <v>SpeedPay</v>
      </c>
      <c r="AF39" s="39" t="s">
        <v>391</v>
      </c>
      <c r="AG39" s="39" t="s">
        <v>392</v>
      </c>
      <c r="AH39" s="39" t="s">
        <v>137</v>
      </c>
      <c r="AI39" s="39" t="s">
        <v>144</v>
      </c>
      <c r="AJ39" s="39" t="s">
        <v>205</v>
      </c>
      <c r="AK39" s="39" t="s">
        <v>229</v>
      </c>
      <c r="AL39" s="47" t="s">
        <v>171</v>
      </c>
      <c r="AM39" s="48">
        <v>37</v>
      </c>
      <c r="AN39" s="297" t="s">
        <v>393</v>
      </c>
      <c r="AO39" s="60">
        <f t="shared" si="8"/>
        <v>40412</v>
      </c>
      <c r="AP39" s="60">
        <f t="shared" si="4"/>
        <v>40418</v>
      </c>
      <c r="AQ39" s="60">
        <v>34</v>
      </c>
      <c r="AR39" s="60" t="str">
        <f t="shared" si="5"/>
        <v>2010w34</v>
      </c>
      <c r="AS39" s="309"/>
      <c r="AT39" s="309"/>
      <c r="AU39" s="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</row>
    <row r="40" spans="8:68" ht="12.75" customHeight="1">
      <c r="H40" s="19"/>
      <c r="I40" s="27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32"/>
      <c r="Y40" s="9"/>
      <c r="Z40" s="9"/>
      <c r="AA40" s="9"/>
      <c r="AB40" s="9"/>
      <c r="AC40" s="9"/>
      <c r="AD40" s="9"/>
      <c r="AE40" s="38" t="str">
        <f t="shared" si="3"/>
        <v>Quick Collect Support</v>
      </c>
      <c r="AF40" s="40" t="s">
        <v>393</v>
      </c>
      <c r="AG40" s="40" t="s">
        <v>394</v>
      </c>
      <c r="AH40" s="40" t="s">
        <v>137</v>
      </c>
      <c r="AI40" s="40" t="s">
        <v>144</v>
      </c>
      <c r="AJ40" s="40" t="s">
        <v>205</v>
      </c>
      <c r="AK40" s="40" t="s">
        <v>206</v>
      </c>
      <c r="AL40" s="49" t="s">
        <v>171</v>
      </c>
      <c r="AM40" s="48">
        <v>38</v>
      </c>
      <c r="AN40" s="297" t="s">
        <v>395</v>
      </c>
      <c r="AO40" s="60">
        <f t="shared" si="8"/>
        <v>40419</v>
      </c>
      <c r="AP40" s="60">
        <f t="shared" si="4"/>
        <v>40425</v>
      </c>
      <c r="AQ40" s="60">
        <v>35</v>
      </c>
      <c r="AR40" s="60" t="str">
        <f t="shared" si="5"/>
        <v>2010w35</v>
      </c>
      <c r="AS40" s="309"/>
      <c r="AT40" s="309"/>
      <c r="AU40" s="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</row>
    <row r="41" spans="8:68" ht="12.75" customHeight="1">
      <c r="H41" s="19"/>
      <c r="I41" s="309"/>
      <c r="J41" s="309"/>
      <c r="K41" s="309"/>
      <c r="L41" s="309"/>
      <c r="M41" s="309"/>
      <c r="N41" s="309"/>
      <c r="O41" s="309"/>
      <c r="P41" s="309"/>
      <c r="Q41" s="9"/>
      <c r="R41" s="9"/>
      <c r="S41" s="9"/>
      <c r="T41" s="9"/>
      <c r="U41" s="9"/>
      <c r="V41" s="9"/>
      <c r="W41" s="9"/>
      <c r="X41" s="32"/>
      <c r="Y41" s="9"/>
      <c r="Z41" s="9"/>
      <c r="AA41" s="9"/>
      <c r="AB41" s="9"/>
      <c r="AC41" s="9"/>
      <c r="AD41" s="9"/>
      <c r="AE41" s="38" t="str">
        <f t="shared" si="3"/>
        <v>WEB Technical</v>
      </c>
      <c r="AF41" s="39" t="s">
        <v>395</v>
      </c>
      <c r="AG41" s="39" t="s">
        <v>396</v>
      </c>
      <c r="AH41" s="39" t="s">
        <v>137</v>
      </c>
      <c r="AI41" s="39" t="s">
        <v>144</v>
      </c>
      <c r="AJ41" s="39" t="s">
        <v>150</v>
      </c>
      <c r="AK41" s="39" t="s">
        <v>229</v>
      </c>
      <c r="AL41" s="47" t="s">
        <v>171</v>
      </c>
      <c r="AM41" s="48">
        <v>39</v>
      </c>
      <c r="AN41" s="297" t="s">
        <v>397</v>
      </c>
      <c r="AO41" s="60">
        <f t="shared" si="8"/>
        <v>40426</v>
      </c>
      <c r="AP41" s="60">
        <f t="shared" si="4"/>
        <v>40432</v>
      </c>
      <c r="AQ41" s="60">
        <v>36</v>
      </c>
      <c r="AR41" s="60" t="str">
        <f t="shared" si="5"/>
        <v>2010w36</v>
      </c>
      <c r="AS41" s="309"/>
      <c r="AT41" s="309"/>
      <c r="AU41" s="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</row>
    <row r="42" spans="8:68" ht="12.75" customHeight="1">
      <c r="H42" s="9"/>
      <c r="I42" s="309"/>
      <c r="J42" s="309"/>
      <c r="K42" s="309"/>
      <c r="L42" s="309"/>
      <c r="M42" s="309"/>
      <c r="N42" s="309"/>
      <c r="O42" s="309"/>
      <c r="P42" s="309"/>
      <c r="Q42" s="9"/>
      <c r="R42" s="9"/>
      <c r="S42" s="9"/>
      <c r="T42" s="9"/>
      <c r="U42" s="9"/>
      <c r="V42" s="9"/>
      <c r="W42" s="9"/>
      <c r="X42" s="32"/>
      <c r="Y42" s="9"/>
      <c r="Z42" s="9"/>
      <c r="AA42" s="9"/>
      <c r="AB42" s="9"/>
      <c r="AC42" s="9"/>
      <c r="AD42" s="9"/>
      <c r="AE42" s="38" t="str">
        <f t="shared" si="3"/>
        <v>Quick Cash</v>
      </c>
      <c r="AF42" s="40" t="s">
        <v>397</v>
      </c>
      <c r="AG42" s="40" t="s">
        <v>398</v>
      </c>
      <c r="AH42" s="40" t="s">
        <v>137</v>
      </c>
      <c r="AI42" s="40" t="s">
        <v>144</v>
      </c>
      <c r="AJ42" s="40" t="s">
        <v>205</v>
      </c>
      <c r="AK42" s="40" t="s">
        <v>206</v>
      </c>
      <c r="AL42" s="49" t="s">
        <v>152</v>
      </c>
      <c r="AM42" s="48">
        <v>40</v>
      </c>
      <c r="AN42" s="297" t="s">
        <v>399</v>
      </c>
      <c r="AO42" s="60">
        <f t="shared" si="8"/>
        <v>40433</v>
      </c>
      <c r="AP42" s="60">
        <f t="shared" si="4"/>
        <v>40439</v>
      </c>
      <c r="AQ42" s="60">
        <v>37</v>
      </c>
      <c r="AR42" s="60" t="str">
        <f t="shared" si="5"/>
        <v>2010w37</v>
      </c>
      <c r="AS42" s="309"/>
      <c r="AT42" s="309"/>
      <c r="AU42" s="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</row>
    <row r="43" spans="8:68" ht="12.75" customHeight="1">
      <c r="H43" s="309"/>
      <c r="I43" s="309"/>
      <c r="J43" s="309"/>
      <c r="K43" s="309"/>
      <c r="L43" s="309"/>
      <c r="M43" s="309"/>
      <c r="N43" s="309"/>
      <c r="O43" s="309"/>
      <c r="P43" s="309"/>
      <c r="Q43" s="9"/>
      <c r="R43" s="9"/>
      <c r="S43" s="9"/>
      <c r="T43" s="9"/>
      <c r="U43" s="9"/>
      <c r="V43" s="9"/>
      <c r="W43" s="9"/>
      <c r="X43" s="32"/>
      <c r="Y43" s="9"/>
      <c r="Z43" s="9"/>
      <c r="AA43" s="9"/>
      <c r="AB43" s="9"/>
      <c r="AC43" s="9"/>
      <c r="AD43" s="9"/>
      <c r="AE43" s="38" t="str">
        <f t="shared" si="3"/>
        <v>Compliance Calling Program</v>
      </c>
      <c r="AF43" s="39" t="s">
        <v>399</v>
      </c>
      <c r="AG43" s="39" t="s">
        <v>400</v>
      </c>
      <c r="AH43" s="39" t="s">
        <v>137</v>
      </c>
      <c r="AI43" s="39" t="s">
        <v>144</v>
      </c>
      <c r="AJ43" s="39" t="s">
        <v>150</v>
      </c>
      <c r="AK43" s="39" t="s">
        <v>229</v>
      </c>
      <c r="AL43" s="47" t="s">
        <v>152</v>
      </c>
      <c r="AM43" s="48">
        <v>41</v>
      </c>
      <c r="AN43" s="297" t="s">
        <v>401</v>
      </c>
      <c r="AO43" s="60">
        <f t="shared" si="8"/>
        <v>40440</v>
      </c>
      <c r="AP43" s="60">
        <f t="shared" si="4"/>
        <v>40446</v>
      </c>
      <c r="AQ43" s="60">
        <v>38</v>
      </c>
      <c r="AR43" s="60" t="str">
        <f t="shared" si="5"/>
        <v>2010w38</v>
      </c>
      <c r="AS43" s="309"/>
      <c r="AT43" s="309"/>
      <c r="AU43" s="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</row>
    <row r="44" spans="8:68" ht="12.75" customHeight="1">
      <c r="H44" s="309"/>
      <c r="I44" s="309"/>
      <c r="J44" s="309"/>
      <c r="K44" s="309"/>
      <c r="L44" s="309"/>
      <c r="M44" s="309"/>
      <c r="N44" s="309"/>
      <c r="O44" s="309"/>
      <c r="P44" s="309"/>
      <c r="Q44" s="9"/>
      <c r="R44" s="9"/>
      <c r="S44" s="9"/>
      <c r="T44" s="9"/>
      <c r="U44" s="9"/>
      <c r="V44" s="9"/>
      <c r="W44" s="9"/>
      <c r="X44" s="32"/>
      <c r="Y44" s="9"/>
      <c r="Z44" s="9"/>
      <c r="AA44" s="9"/>
      <c r="AB44" s="9"/>
      <c r="AC44" s="9"/>
      <c r="AD44" s="9"/>
      <c r="AE44" s="38" t="str">
        <f t="shared" si="3"/>
        <v>NAS</v>
      </c>
      <c r="AF44" s="40" t="s">
        <v>401</v>
      </c>
      <c r="AG44" s="40" t="s">
        <v>402</v>
      </c>
      <c r="AH44" s="40" t="s">
        <v>137</v>
      </c>
      <c r="AI44" s="40" t="s">
        <v>144</v>
      </c>
      <c r="AJ44" s="40" t="s">
        <v>150</v>
      </c>
      <c r="AK44" s="40" t="s">
        <v>170</v>
      </c>
      <c r="AL44" s="49" t="s">
        <v>171</v>
      </c>
      <c r="AM44" s="48">
        <v>42</v>
      </c>
      <c r="AN44" s="297" t="s">
        <v>403</v>
      </c>
      <c r="AO44" s="60">
        <f t="shared" si="8"/>
        <v>40447</v>
      </c>
      <c r="AP44" s="60">
        <f t="shared" si="4"/>
        <v>40453</v>
      </c>
      <c r="AQ44" s="60">
        <v>39</v>
      </c>
      <c r="AR44" s="60" t="str">
        <f t="shared" si="5"/>
        <v>2010w39</v>
      </c>
      <c r="AS44" s="309"/>
      <c r="AT44" s="309"/>
      <c r="AU44" s="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</row>
    <row r="45" spans="8:68" ht="12.75" customHeight="1">
      <c r="H45" s="309"/>
      <c r="I45" s="309"/>
      <c r="J45" s="309"/>
      <c r="K45" s="309"/>
      <c r="L45" s="309"/>
      <c r="M45" s="309"/>
      <c r="N45" s="309"/>
      <c r="O45" s="309"/>
      <c r="P45" s="309"/>
      <c r="Q45" s="9"/>
      <c r="R45" s="9"/>
      <c r="S45" s="9"/>
      <c r="T45" s="9"/>
      <c r="U45" s="9"/>
      <c r="V45" s="9"/>
      <c r="W45" s="9"/>
      <c r="X45" s="32"/>
      <c r="Y45" s="9"/>
      <c r="Z45" s="9"/>
      <c r="AA45" s="9"/>
      <c r="AB45" s="9"/>
      <c r="AC45" s="9"/>
      <c r="AD45" s="9"/>
      <c r="AE45" s="38" t="str">
        <f t="shared" si="3"/>
        <v>Banks Requests Services</v>
      </c>
      <c r="AF45" s="39" t="s">
        <v>403</v>
      </c>
      <c r="AG45" s="39" t="s">
        <v>404</v>
      </c>
      <c r="AH45" s="39" t="s">
        <v>137</v>
      </c>
      <c r="AI45" s="39" t="s">
        <v>144</v>
      </c>
      <c r="AJ45" s="39" t="s">
        <v>150</v>
      </c>
      <c r="AK45" s="39" t="s">
        <v>170</v>
      </c>
      <c r="AL45" s="47" t="s">
        <v>171</v>
      </c>
      <c r="AM45" s="48">
        <v>43</v>
      </c>
      <c r="AN45" s="297" t="s">
        <v>405</v>
      </c>
      <c r="AO45" s="60">
        <f t="shared" si="8"/>
        <v>40454</v>
      </c>
      <c r="AP45" s="60">
        <f t="shared" si="4"/>
        <v>40460</v>
      </c>
      <c r="AQ45" s="60">
        <v>40</v>
      </c>
      <c r="AR45" s="60" t="str">
        <f t="shared" si="5"/>
        <v>2010w40</v>
      </c>
      <c r="AS45" s="309"/>
      <c r="AT45" s="309"/>
      <c r="AU45" s="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</row>
    <row r="46" spans="8:68" ht="12.75" customHeight="1">
      <c r="H46" s="309"/>
      <c r="I46" s="309"/>
      <c r="J46" s="309"/>
      <c r="K46" s="309"/>
      <c r="L46" s="309"/>
      <c r="M46" s="309"/>
      <c r="N46" s="309"/>
      <c r="O46" s="309"/>
      <c r="P46" s="309"/>
      <c r="Q46" s="9"/>
      <c r="R46" s="9"/>
      <c r="S46" s="9"/>
      <c r="T46" s="9"/>
      <c r="U46" s="9"/>
      <c r="V46" s="9"/>
      <c r="W46" s="9"/>
      <c r="X46" s="32"/>
      <c r="Y46" s="9"/>
      <c r="Z46" s="9"/>
      <c r="AA46" s="9"/>
      <c r="AB46" s="9"/>
      <c r="AC46" s="9"/>
      <c r="AD46" s="9"/>
      <c r="AE46" s="38" t="str">
        <f t="shared" si="3"/>
        <v>MTBP Consumer (Non Global Form)</v>
      </c>
      <c r="AF46" s="40" t="s">
        <v>405</v>
      </c>
      <c r="AG46" s="40" t="s">
        <v>406</v>
      </c>
      <c r="AH46" s="40" t="s">
        <v>137</v>
      </c>
      <c r="AI46" s="40" t="s">
        <v>144</v>
      </c>
      <c r="AJ46" s="40" t="s">
        <v>150</v>
      </c>
      <c r="AK46" s="40" t="s">
        <v>151</v>
      </c>
      <c r="AL46" s="49" t="s">
        <v>152</v>
      </c>
      <c r="AM46" s="48">
        <v>44</v>
      </c>
      <c r="AN46" s="297" t="s">
        <v>407</v>
      </c>
      <c r="AO46" s="60">
        <f t="shared" si="8"/>
        <v>40461</v>
      </c>
      <c r="AP46" s="60">
        <f t="shared" si="4"/>
        <v>40467</v>
      </c>
      <c r="AQ46" s="60">
        <v>41</v>
      </c>
      <c r="AR46" s="60" t="str">
        <f t="shared" si="5"/>
        <v>2010w41</v>
      </c>
      <c r="AS46" s="309"/>
      <c r="AT46" s="309"/>
      <c r="AU46" s="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</row>
    <row r="47" spans="8:68" ht="12.75" customHeight="1">
      <c r="H47" s="309"/>
      <c r="I47" s="309"/>
      <c r="J47" s="309"/>
      <c r="K47" s="309"/>
      <c r="L47" s="309"/>
      <c r="M47" s="309"/>
      <c r="N47" s="309"/>
      <c r="O47" s="309"/>
      <c r="P47" s="309"/>
      <c r="Q47" s="9"/>
      <c r="R47" s="9"/>
      <c r="S47" s="9"/>
      <c r="T47" s="9"/>
      <c r="U47" s="9"/>
      <c r="V47" s="9"/>
      <c r="W47" s="9"/>
      <c r="X47" s="32"/>
      <c r="Y47" s="9"/>
      <c r="Z47" s="9"/>
      <c r="AA47" s="9"/>
      <c r="AB47" s="9"/>
      <c r="AC47" s="9"/>
      <c r="AD47" s="9"/>
      <c r="AE47" s="38" t="str">
        <f t="shared" si="3"/>
        <v>TMT (Non Global Form)</v>
      </c>
      <c r="AF47" s="39" t="s">
        <v>407</v>
      </c>
      <c r="AG47" s="39" t="s">
        <v>408</v>
      </c>
      <c r="AH47" s="39" t="s">
        <v>137</v>
      </c>
      <c r="AI47" s="39" t="s">
        <v>144</v>
      </c>
      <c r="AJ47" s="39" t="s">
        <v>150</v>
      </c>
      <c r="AK47" s="39" t="s">
        <v>151</v>
      </c>
      <c r="AL47" s="47" t="s">
        <v>152</v>
      </c>
      <c r="AM47" s="48">
        <v>45</v>
      </c>
      <c r="AN47" s="297" t="s">
        <v>409</v>
      </c>
      <c r="AO47" s="60">
        <f t="shared" si="8"/>
        <v>40468</v>
      </c>
      <c r="AP47" s="60">
        <f t="shared" si="4"/>
        <v>40474</v>
      </c>
      <c r="AQ47" s="60">
        <v>42</v>
      </c>
      <c r="AR47" s="60" t="str">
        <f t="shared" si="5"/>
        <v>2010w42</v>
      </c>
      <c r="AS47" s="309"/>
      <c r="AT47" s="309"/>
      <c r="AU47" s="9"/>
      <c r="AV47" s="309"/>
      <c r="AW47" s="309"/>
      <c r="AX47" s="309"/>
      <c r="AY47" s="309"/>
      <c r="AZ47" s="309"/>
      <c r="BA47" s="309"/>
      <c r="BB47" s="309"/>
      <c r="BC47" s="309"/>
      <c r="BD47" s="309"/>
      <c r="BE47" s="309"/>
      <c r="BF47" s="309"/>
      <c r="BG47" s="309"/>
      <c r="BH47" s="309"/>
      <c r="BI47" s="309"/>
      <c r="BJ47" s="309"/>
      <c r="BK47" s="309"/>
      <c r="BL47" s="309"/>
      <c r="BM47" s="309"/>
      <c r="BN47" s="309"/>
      <c r="BO47" s="309"/>
      <c r="BP47" s="309"/>
    </row>
    <row r="48" spans="8:68" ht="12.75" customHeight="1">
      <c r="H48" s="309"/>
      <c r="I48" s="309"/>
      <c r="J48" s="309"/>
      <c r="K48" s="309"/>
      <c r="L48" s="309"/>
      <c r="M48" s="309"/>
      <c r="N48" s="309"/>
      <c r="O48" s="309"/>
      <c r="P48" s="309"/>
      <c r="Q48" s="9"/>
      <c r="R48" s="9"/>
      <c r="S48" s="9"/>
      <c r="T48" s="9"/>
      <c r="U48" s="9"/>
      <c r="V48" s="9"/>
      <c r="W48" s="9"/>
      <c r="X48" s="32"/>
      <c r="Y48" s="9"/>
      <c r="Z48" s="9"/>
      <c r="AA48" s="9"/>
      <c r="AB48" s="9"/>
      <c r="AC48" s="9"/>
      <c r="AD48" s="9"/>
      <c r="AE48" s="38" t="str">
        <f t="shared" si="3"/>
        <v>WEB Technical (Non Global Form)</v>
      </c>
      <c r="AF48" s="40" t="s">
        <v>409</v>
      </c>
      <c r="AG48" s="40" t="s">
        <v>410</v>
      </c>
      <c r="AH48" s="40" t="s">
        <v>137</v>
      </c>
      <c r="AI48" s="40" t="s">
        <v>144</v>
      </c>
      <c r="AJ48" s="40" t="s">
        <v>150</v>
      </c>
      <c r="AK48" s="40" t="s">
        <v>151</v>
      </c>
      <c r="AL48" s="49" t="s">
        <v>152</v>
      </c>
      <c r="AM48" s="48">
        <v>46</v>
      </c>
      <c r="AN48" s="297" t="s">
        <v>411</v>
      </c>
      <c r="AO48" s="60">
        <f t="shared" si="8"/>
        <v>40475</v>
      </c>
      <c r="AP48" s="60">
        <f t="shared" si="4"/>
        <v>40481</v>
      </c>
      <c r="AQ48" s="60">
        <v>43</v>
      </c>
      <c r="AR48" s="60" t="str">
        <f t="shared" si="5"/>
        <v>2010w43</v>
      </c>
      <c r="AS48" s="309"/>
      <c r="AT48" s="309"/>
      <c r="AU48" s="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</row>
    <row r="49" spans="17:47" ht="12.75" customHeight="1">
      <c r="Q49" s="9"/>
      <c r="R49" s="9"/>
      <c r="S49" s="9"/>
      <c r="T49" s="9"/>
      <c r="U49" s="9"/>
      <c r="V49" s="9"/>
      <c r="W49" s="9"/>
      <c r="X49" s="32"/>
      <c r="Y49" s="9"/>
      <c r="Z49" s="9"/>
      <c r="AA49" s="9"/>
      <c r="AB49" s="9"/>
      <c r="AC49" s="9"/>
      <c r="AD49" s="9"/>
      <c r="AE49" s="38" t="str">
        <f t="shared" si="3"/>
        <v>APAC Loyalty</v>
      </c>
      <c r="AF49" s="39" t="s">
        <v>411</v>
      </c>
      <c r="AG49" s="39" t="s">
        <v>412</v>
      </c>
      <c r="AH49" s="39" t="s">
        <v>137</v>
      </c>
      <c r="AI49" s="39" t="s">
        <v>144</v>
      </c>
      <c r="AJ49" s="39" t="s">
        <v>189</v>
      </c>
      <c r="AK49" s="39" t="s">
        <v>229</v>
      </c>
      <c r="AL49" s="47" t="s">
        <v>171</v>
      </c>
      <c r="AM49" s="48">
        <v>47</v>
      </c>
      <c r="AN49" s="297" t="s">
        <v>413</v>
      </c>
      <c r="AO49" s="60">
        <f t="shared" si="8"/>
        <v>40482</v>
      </c>
      <c r="AP49" s="60">
        <f t="shared" si="4"/>
        <v>40488</v>
      </c>
      <c r="AQ49" s="60">
        <v>44</v>
      </c>
      <c r="AR49" s="60" t="str">
        <f t="shared" si="5"/>
        <v>2010w44</v>
      </c>
      <c r="AS49" s="309"/>
      <c r="AT49" s="309"/>
      <c r="AU49" s="9"/>
    </row>
    <row r="50" spans="17:47" ht="12.75" customHeight="1">
      <c r="Q50" s="9"/>
      <c r="R50" s="9"/>
      <c r="S50" s="9"/>
      <c r="T50" s="9"/>
      <c r="U50" s="9"/>
      <c r="V50" s="9"/>
      <c r="W50" s="9"/>
      <c r="X50" s="32"/>
      <c r="Y50" s="9"/>
      <c r="Z50" s="9"/>
      <c r="AA50" s="9"/>
      <c r="AB50" s="9"/>
      <c r="AC50" s="9"/>
      <c r="AD50" s="9"/>
      <c r="AE50" s="38" t="str">
        <f t="shared" si="3"/>
        <v>APAC WU.com Validation</v>
      </c>
      <c r="AF50" s="40" t="s">
        <v>413</v>
      </c>
      <c r="AG50" s="40" t="s">
        <v>414</v>
      </c>
      <c r="AH50" s="40" t="s">
        <v>137</v>
      </c>
      <c r="AI50" s="40" t="s">
        <v>144</v>
      </c>
      <c r="AJ50" s="40" t="s">
        <v>189</v>
      </c>
      <c r="AK50" s="40" t="s">
        <v>229</v>
      </c>
      <c r="AL50" s="49" t="s">
        <v>171</v>
      </c>
      <c r="AM50" s="48">
        <v>48</v>
      </c>
      <c r="AN50" s="297" t="s">
        <v>415</v>
      </c>
      <c r="AO50" s="60">
        <f t="shared" si="8"/>
        <v>40489</v>
      </c>
      <c r="AP50" s="60">
        <f t="shared" si="4"/>
        <v>40495</v>
      </c>
      <c r="AQ50" s="60">
        <v>45</v>
      </c>
      <c r="AR50" s="60" t="str">
        <f t="shared" si="5"/>
        <v>2010w45</v>
      </c>
      <c r="AS50" s="309"/>
      <c r="AT50" s="309"/>
      <c r="AU50" s="9"/>
    </row>
    <row r="51" spans="17:47" ht="12.75" customHeight="1">
      <c r="Q51" s="9"/>
      <c r="R51" s="9"/>
      <c r="S51" s="9"/>
      <c r="T51" s="9"/>
      <c r="U51" s="9"/>
      <c r="V51" s="9"/>
      <c r="W51" s="9"/>
      <c r="X51" s="32"/>
      <c r="Y51" s="9"/>
      <c r="Z51" s="9"/>
      <c r="AA51" s="9"/>
      <c r="AB51" s="9"/>
      <c r="AC51" s="9"/>
      <c r="AD51" s="9"/>
      <c r="AE51" s="38" t="str">
        <f t="shared" si="3"/>
        <v>APAC Agent Services</v>
      </c>
      <c r="AF51" s="39" t="s">
        <v>415</v>
      </c>
      <c r="AG51" s="39" t="s">
        <v>416</v>
      </c>
      <c r="AH51" s="39" t="s">
        <v>137</v>
      </c>
      <c r="AI51" s="39" t="s">
        <v>144</v>
      </c>
      <c r="AJ51" s="39" t="s">
        <v>189</v>
      </c>
      <c r="AK51" s="39" t="s">
        <v>170</v>
      </c>
      <c r="AL51" s="47" t="s">
        <v>171</v>
      </c>
      <c r="AM51" s="48">
        <v>49</v>
      </c>
      <c r="AN51" s="297" t="s">
        <v>417</v>
      </c>
      <c r="AO51" s="60">
        <f t="shared" si="8"/>
        <v>40496</v>
      </c>
      <c r="AP51" s="60">
        <f t="shared" si="4"/>
        <v>40502</v>
      </c>
      <c r="AQ51" s="60">
        <v>46</v>
      </c>
      <c r="AR51" s="60" t="str">
        <f t="shared" si="5"/>
        <v>2010w46</v>
      </c>
      <c r="AS51" s="309"/>
      <c r="AT51" s="309"/>
      <c r="AU51" s="9"/>
    </row>
    <row r="52" spans="17:47" ht="12.75" customHeight="1">
      <c r="Q52" s="9"/>
      <c r="R52" s="9"/>
      <c r="S52" s="9"/>
      <c r="T52" s="9"/>
      <c r="U52" s="9"/>
      <c r="V52" s="9"/>
      <c r="W52" s="9"/>
      <c r="X52" s="32"/>
      <c r="Y52" s="9"/>
      <c r="Z52" s="9"/>
      <c r="AA52" s="9"/>
      <c r="AB52" s="9"/>
      <c r="AC52" s="9"/>
      <c r="AD52" s="9"/>
      <c r="AE52" s="38" t="str">
        <f t="shared" si="3"/>
        <v>APAC Consumer Services</v>
      </c>
      <c r="AF52" s="40" t="s">
        <v>417</v>
      </c>
      <c r="AG52" s="40" t="s">
        <v>418</v>
      </c>
      <c r="AH52" s="40" t="s">
        <v>137</v>
      </c>
      <c r="AI52" s="40" t="s">
        <v>144</v>
      </c>
      <c r="AJ52" s="40" t="s">
        <v>189</v>
      </c>
      <c r="AK52" s="40" t="s">
        <v>229</v>
      </c>
      <c r="AL52" s="49" t="s">
        <v>171</v>
      </c>
      <c r="AM52" s="48">
        <v>50</v>
      </c>
      <c r="AN52" s="297" t="s">
        <v>419</v>
      </c>
      <c r="AO52" s="60">
        <f t="shared" si="8"/>
        <v>40503</v>
      </c>
      <c r="AP52" s="60">
        <f t="shared" si="4"/>
        <v>40509</v>
      </c>
      <c r="AQ52" s="60">
        <v>47</v>
      </c>
      <c r="AR52" s="60" t="str">
        <f t="shared" si="5"/>
        <v>2010w47</v>
      </c>
      <c r="AS52" s="309"/>
      <c r="AT52" s="309"/>
      <c r="AU52" s="9"/>
    </row>
    <row r="53" spans="17:47" ht="12.75" customHeight="1">
      <c r="Q53" s="9"/>
      <c r="R53" s="9"/>
      <c r="S53" s="9"/>
      <c r="T53" s="9"/>
      <c r="U53" s="9"/>
      <c r="V53" s="9"/>
      <c r="W53" s="9"/>
      <c r="X53" s="32"/>
      <c r="Y53" s="9"/>
      <c r="Z53" s="9"/>
      <c r="AA53" s="9"/>
      <c r="AB53" s="9"/>
      <c r="AC53" s="9"/>
      <c r="AD53" s="9"/>
      <c r="AE53" s="38" t="str">
        <f t="shared" si="3"/>
        <v>TSC Help Desk</v>
      </c>
      <c r="AF53" s="39" t="s">
        <v>419</v>
      </c>
      <c r="AG53" s="39" t="s">
        <v>420</v>
      </c>
      <c r="AH53" s="39" t="s">
        <v>137</v>
      </c>
      <c r="AI53" s="39" t="s">
        <v>144</v>
      </c>
      <c r="AJ53" s="39" t="s">
        <v>150</v>
      </c>
      <c r="AK53" s="39" t="s">
        <v>151</v>
      </c>
      <c r="AL53" s="47" t="s">
        <v>152</v>
      </c>
      <c r="AM53" s="48">
        <v>0</v>
      </c>
      <c r="AN53" s="297" t="s">
        <v>148</v>
      </c>
      <c r="AO53" s="60">
        <f t="shared" si="8"/>
        <v>40510</v>
      </c>
      <c r="AP53" s="60">
        <f t="shared" si="4"/>
        <v>40516</v>
      </c>
      <c r="AQ53" s="60">
        <v>48</v>
      </c>
      <c r="AR53" s="60" t="str">
        <f t="shared" si="5"/>
        <v>2010w48</v>
      </c>
      <c r="AS53" s="309"/>
      <c r="AT53" s="309"/>
      <c r="AU53" s="9"/>
    </row>
    <row r="54" spans="17:47" ht="12.75" customHeight="1">
      <c r="Q54" s="9"/>
      <c r="R54" s="9"/>
      <c r="S54" s="9"/>
      <c r="T54" s="9"/>
      <c r="U54" s="9"/>
      <c r="V54" s="9"/>
      <c r="W54" s="9"/>
      <c r="X54" s="32"/>
      <c r="Y54" s="9"/>
      <c r="Z54" s="9"/>
      <c r="AA54" s="9"/>
      <c r="AB54" s="9"/>
      <c r="AC54" s="9"/>
      <c r="AD54" s="9"/>
      <c r="AE54" s="38" t="str">
        <f t="shared" si="3"/>
        <v>IAS T1</v>
      </c>
      <c r="AF54" s="40" t="s">
        <v>421</v>
      </c>
      <c r="AG54" s="40" t="s">
        <v>422</v>
      </c>
      <c r="AH54" s="40" t="s">
        <v>137</v>
      </c>
      <c r="AI54" s="40" t="s">
        <v>144</v>
      </c>
      <c r="AJ54" s="40" t="s">
        <v>240</v>
      </c>
      <c r="AK54" s="40" t="s">
        <v>170</v>
      </c>
      <c r="AL54" s="49" t="s">
        <v>171</v>
      </c>
      <c r="AM54" s="9"/>
      <c r="AN54" s="6"/>
      <c r="AO54" s="60">
        <f t="shared" si="8"/>
        <v>40517</v>
      </c>
      <c r="AP54" s="60">
        <f t="shared" si="4"/>
        <v>40523</v>
      </c>
      <c r="AQ54" s="60">
        <v>49</v>
      </c>
      <c r="AR54" s="60" t="str">
        <f t="shared" si="5"/>
        <v>2010w49</v>
      </c>
      <c r="AS54" s="309"/>
      <c r="AT54" s="309"/>
      <c r="AU54" s="9"/>
    </row>
    <row r="55" spans="17:47" ht="12.75" customHeight="1">
      <c r="Q55" s="9"/>
      <c r="R55" s="9"/>
      <c r="S55" s="9"/>
      <c r="T55" s="9"/>
      <c r="U55" s="9"/>
      <c r="V55" s="9"/>
      <c r="W55" s="9"/>
      <c r="X55" s="32"/>
      <c r="Y55" s="9"/>
      <c r="Z55" s="9"/>
      <c r="AA55" s="9"/>
      <c r="AB55" s="9"/>
      <c r="AC55" s="9"/>
      <c r="AD55" s="9"/>
      <c r="AE55" s="38" t="str">
        <f t="shared" si="3"/>
        <v>MROC Tech Support</v>
      </c>
      <c r="AF55" s="39" t="s">
        <v>423</v>
      </c>
      <c r="AG55" s="39" t="s">
        <v>424</v>
      </c>
      <c r="AH55" s="39" t="s">
        <v>137</v>
      </c>
      <c r="AI55" s="39" t="s">
        <v>257</v>
      </c>
      <c r="AJ55" s="39" t="s">
        <v>150</v>
      </c>
      <c r="AK55" s="39" t="s">
        <v>170</v>
      </c>
      <c r="AL55" s="47" t="s">
        <v>171</v>
      </c>
      <c r="AM55" s="9"/>
      <c r="AN55" s="6"/>
      <c r="AO55" s="60">
        <f t="shared" si="8"/>
        <v>40524</v>
      </c>
      <c r="AP55" s="60">
        <f t="shared" si="4"/>
        <v>40530</v>
      </c>
      <c r="AQ55" s="60">
        <v>50</v>
      </c>
      <c r="AR55" s="60" t="str">
        <f t="shared" si="5"/>
        <v>2010w50</v>
      </c>
      <c r="AS55" s="309"/>
      <c r="AT55" s="309"/>
      <c r="AU55" s="9"/>
    </row>
    <row r="56" spans="17:47" ht="12.75" customHeight="1">
      <c r="Q56" s="9"/>
      <c r="R56" s="9"/>
      <c r="S56" s="9"/>
      <c r="T56" s="9"/>
      <c r="U56" s="9"/>
      <c r="V56" s="9"/>
      <c r="W56" s="9"/>
      <c r="X56" s="32"/>
      <c r="Y56" s="9"/>
      <c r="Z56" s="9"/>
      <c r="AA56" s="9"/>
      <c r="AB56" s="9"/>
      <c r="AC56" s="9"/>
      <c r="AD56" s="9"/>
      <c r="AE56" s="38" t="str">
        <f t="shared" si="3"/>
        <v>Courtesy Call Back</v>
      </c>
      <c r="AF56" s="40" t="s">
        <v>425</v>
      </c>
      <c r="AG56" s="40" t="s">
        <v>426</v>
      </c>
      <c r="AH56" s="40" t="s">
        <v>137</v>
      </c>
      <c r="AI56" s="40" t="s">
        <v>144</v>
      </c>
      <c r="AJ56" s="40" t="s">
        <v>150</v>
      </c>
      <c r="AK56" s="40" t="s">
        <v>229</v>
      </c>
      <c r="AL56" s="49" t="s">
        <v>152</v>
      </c>
      <c r="AM56" s="309"/>
      <c r="AN56" s="309"/>
      <c r="AO56" s="60">
        <f t="shared" si="8"/>
        <v>40531</v>
      </c>
      <c r="AP56" s="60">
        <f t="shared" si="4"/>
        <v>40537</v>
      </c>
      <c r="AQ56" s="60">
        <v>51</v>
      </c>
      <c r="AR56" s="60" t="str">
        <f t="shared" si="5"/>
        <v>2010w51</v>
      </c>
      <c r="AS56" s="309"/>
      <c r="AT56" s="309"/>
      <c r="AU56" s="9"/>
    </row>
    <row r="57" spans="17:47" ht="12.75" customHeight="1">
      <c r="Q57" s="9"/>
      <c r="R57" s="9"/>
      <c r="S57" s="9"/>
      <c r="T57" s="9"/>
      <c r="U57" s="9"/>
      <c r="V57" s="9"/>
      <c r="W57" s="9"/>
      <c r="X57" s="32"/>
      <c r="Y57" s="9"/>
      <c r="Z57" s="9"/>
      <c r="AA57" s="9"/>
      <c r="AB57" s="9"/>
      <c r="AC57" s="9"/>
      <c r="AD57" s="9"/>
      <c r="AE57" s="38" t="str">
        <f t="shared" si="3"/>
        <v>Paymap EC</v>
      </c>
      <c r="AF57" s="39" t="s">
        <v>427</v>
      </c>
      <c r="AG57" s="39" t="s">
        <v>428</v>
      </c>
      <c r="AH57" s="39" t="s">
        <v>137</v>
      </c>
      <c r="AI57" s="39" t="s">
        <v>144</v>
      </c>
      <c r="AJ57" s="39" t="s">
        <v>205</v>
      </c>
      <c r="AK57" s="39" t="s">
        <v>229</v>
      </c>
      <c r="AL57" s="47" t="s">
        <v>171</v>
      </c>
      <c r="AM57" s="309"/>
      <c r="AN57" s="309"/>
      <c r="AO57" s="60">
        <f t="shared" si="8"/>
        <v>40538</v>
      </c>
      <c r="AP57" s="60">
        <f t="shared" si="4"/>
        <v>40544</v>
      </c>
      <c r="AQ57" s="60">
        <v>52</v>
      </c>
      <c r="AR57" s="60" t="str">
        <f t="shared" si="5"/>
        <v>2010w52</v>
      </c>
      <c r="AS57" s="309"/>
      <c r="AT57" s="309"/>
      <c r="AU57" s="9"/>
    </row>
    <row r="58" spans="17:47" ht="12.75" customHeight="1">
      <c r="Q58" s="9"/>
      <c r="R58" s="9"/>
      <c r="S58" s="9"/>
      <c r="T58" s="9"/>
      <c r="U58" s="9"/>
      <c r="V58" s="9"/>
      <c r="W58" s="9"/>
      <c r="X58" s="32"/>
      <c r="Y58" s="9"/>
      <c r="Z58" s="9"/>
      <c r="AA58" s="9"/>
      <c r="AB58" s="9"/>
      <c r="AC58" s="9"/>
      <c r="AD58" s="9"/>
      <c r="AE58" s="38" t="str">
        <f t="shared" si="3"/>
        <v>WURSS</v>
      </c>
      <c r="AF58" s="40" t="s">
        <v>429</v>
      </c>
      <c r="AG58" s="50" t="s">
        <v>430</v>
      </c>
      <c r="AH58" s="40" t="s">
        <v>137</v>
      </c>
      <c r="AI58" s="40" t="s">
        <v>144</v>
      </c>
      <c r="AJ58" s="40" t="s">
        <v>240</v>
      </c>
      <c r="AK58" s="40" t="s">
        <v>229</v>
      </c>
      <c r="AL58" s="49" t="s">
        <v>171</v>
      </c>
      <c r="AM58" s="309"/>
      <c r="AN58" s="309"/>
      <c r="AO58" s="62">
        <f t="shared" si="8"/>
        <v>40545</v>
      </c>
      <c r="AP58" s="62">
        <f t="shared" si="4"/>
        <v>40551</v>
      </c>
      <c r="AQ58" s="62">
        <v>1</v>
      </c>
      <c r="AR58" s="62" t="str">
        <f t="shared" si="5"/>
        <v>2011w01</v>
      </c>
      <c r="AS58" s="309"/>
      <c r="AT58" s="309"/>
      <c r="AU58" s="9"/>
    </row>
    <row r="59" spans="17:47" ht="12.75" customHeight="1">
      <c r="Q59" s="9"/>
      <c r="R59" s="9"/>
      <c r="S59" s="9"/>
      <c r="T59" s="9"/>
      <c r="U59" s="9"/>
      <c r="V59" s="9"/>
      <c r="W59" s="9"/>
      <c r="X59" s="32"/>
      <c r="Y59" s="9"/>
      <c r="Z59" s="9"/>
      <c r="AA59" s="9"/>
      <c r="AB59" s="9"/>
      <c r="AC59" s="9"/>
      <c r="AD59" s="9"/>
      <c r="AE59" s="38" t="str">
        <f t="shared" si="3"/>
        <v>Core Payments</v>
      </c>
      <c r="AF59" s="39" t="s">
        <v>431</v>
      </c>
      <c r="AG59" s="39" t="s">
        <v>432</v>
      </c>
      <c r="AH59" s="39" t="s">
        <v>137</v>
      </c>
      <c r="AI59" s="39" t="s">
        <v>144</v>
      </c>
      <c r="AJ59" s="39" t="s">
        <v>205</v>
      </c>
      <c r="AK59" s="39" t="s">
        <v>206</v>
      </c>
      <c r="AL59" s="47" t="s">
        <v>171</v>
      </c>
      <c r="AM59" s="309"/>
      <c r="AN59" s="309"/>
      <c r="AO59" s="62">
        <f t="shared" si="8"/>
        <v>40552</v>
      </c>
      <c r="AP59" s="62">
        <f t="shared" si="4"/>
        <v>40558</v>
      </c>
      <c r="AQ59" s="62">
        <v>2</v>
      </c>
      <c r="AR59" s="62" t="str">
        <f t="shared" si="5"/>
        <v>2011w02</v>
      </c>
      <c r="AS59" s="309"/>
      <c r="AT59" s="309"/>
      <c r="AU59" s="9"/>
    </row>
    <row r="60" spans="17:47" ht="12.75" customHeight="1">
      <c r="Q60" s="9"/>
      <c r="R60" s="9"/>
      <c r="S60" s="9"/>
      <c r="T60" s="9"/>
      <c r="U60" s="9"/>
      <c r="V60" s="9"/>
      <c r="W60" s="9"/>
      <c r="X60" s="32"/>
      <c r="Y60" s="9"/>
      <c r="Z60" s="9"/>
      <c r="AA60" s="9"/>
      <c r="AB60" s="9"/>
      <c r="AC60" s="9"/>
      <c r="AD60" s="9"/>
      <c r="AE60" s="38" t="str">
        <f t="shared" si="3"/>
        <v>Conversions and Activations</v>
      </c>
      <c r="AF60" s="40" t="s">
        <v>433</v>
      </c>
      <c r="AG60" s="50" t="s">
        <v>434</v>
      </c>
      <c r="AH60" s="40" t="s">
        <v>137</v>
      </c>
      <c r="AI60" s="40" t="s">
        <v>266</v>
      </c>
      <c r="AJ60" s="40" t="s">
        <v>150</v>
      </c>
      <c r="AK60" s="40" t="s">
        <v>170</v>
      </c>
      <c r="AL60" s="49" t="s">
        <v>171</v>
      </c>
      <c r="AM60" s="309"/>
      <c r="AN60" s="309"/>
      <c r="AO60" s="62">
        <f t="shared" si="8"/>
        <v>40559</v>
      </c>
      <c r="AP60" s="62">
        <f t="shared" si="4"/>
        <v>40565</v>
      </c>
      <c r="AQ60" s="62">
        <v>3</v>
      </c>
      <c r="AR60" s="62" t="str">
        <f t="shared" si="5"/>
        <v>2011w03</v>
      </c>
      <c r="AS60" s="309"/>
      <c r="AT60" s="309"/>
      <c r="AU60" s="9"/>
    </row>
    <row r="61" spans="17:47" ht="12.75" customHeight="1">
      <c r="Q61" s="9"/>
      <c r="R61" s="9"/>
      <c r="S61" s="9"/>
      <c r="T61" s="9"/>
      <c r="U61" s="9"/>
      <c r="V61" s="9"/>
      <c r="W61" s="9"/>
      <c r="X61" s="32"/>
      <c r="Y61" s="9"/>
      <c r="Z61" s="9"/>
      <c r="AA61" s="9"/>
      <c r="AB61" s="9"/>
      <c r="AC61" s="9"/>
      <c r="AD61" s="9"/>
      <c r="AE61" s="38" t="str">
        <f t="shared" si="3"/>
        <v>EMEA WU.com</v>
      </c>
      <c r="AF61" s="39" t="s">
        <v>435</v>
      </c>
      <c r="AG61" s="39" t="s">
        <v>436</v>
      </c>
      <c r="AH61" s="39" t="s">
        <v>137</v>
      </c>
      <c r="AI61" s="39" t="s">
        <v>144</v>
      </c>
      <c r="AJ61" s="39" t="s">
        <v>240</v>
      </c>
      <c r="AK61" s="39" t="s">
        <v>229</v>
      </c>
      <c r="AL61" s="47" t="s">
        <v>171</v>
      </c>
      <c r="AM61" s="309"/>
      <c r="AN61" s="309"/>
      <c r="AO61" s="62">
        <f t="shared" si="8"/>
        <v>40566</v>
      </c>
      <c r="AP61" s="62">
        <f t="shared" si="4"/>
        <v>40572</v>
      </c>
      <c r="AQ61" s="62">
        <v>4</v>
      </c>
      <c r="AR61" s="62" t="str">
        <f t="shared" si="5"/>
        <v>2011w04</v>
      </c>
      <c r="AS61" s="309"/>
      <c r="AT61" s="309"/>
      <c r="AU61" s="9"/>
    </row>
    <row r="62" spans="17:47" ht="12.75" customHeight="1">
      <c r="Q62" s="9"/>
      <c r="R62" s="9"/>
      <c r="S62" s="9"/>
      <c r="T62" s="9"/>
      <c r="U62" s="9"/>
      <c r="V62" s="9"/>
      <c r="W62" s="9"/>
      <c r="X62" s="32"/>
      <c r="Y62" s="9"/>
      <c r="Z62" s="9"/>
      <c r="AA62" s="9"/>
      <c r="AB62" s="9"/>
      <c r="AC62" s="9"/>
      <c r="AD62" s="9"/>
      <c r="AE62" s="38" t="str">
        <f t="shared" si="3"/>
        <v>APAC Agent Services Inbox</v>
      </c>
      <c r="AF62" s="40" t="s">
        <v>437</v>
      </c>
      <c r="AG62" s="50" t="s">
        <v>438</v>
      </c>
      <c r="AH62" s="40" t="s">
        <v>138</v>
      </c>
      <c r="AI62" s="40" t="s">
        <v>144</v>
      </c>
      <c r="AJ62" s="40" t="s">
        <v>189</v>
      </c>
      <c r="AK62" s="40" t="s">
        <v>170</v>
      </c>
      <c r="AL62" s="49" t="s">
        <v>171</v>
      </c>
      <c r="AM62" s="309"/>
      <c r="AN62" s="309"/>
      <c r="AO62" s="62">
        <f t="shared" si="8"/>
        <v>40573</v>
      </c>
      <c r="AP62" s="62">
        <f t="shared" si="4"/>
        <v>40579</v>
      </c>
      <c r="AQ62" s="62">
        <v>5</v>
      </c>
      <c r="AR62" s="62" t="str">
        <f t="shared" si="5"/>
        <v>2011w05</v>
      </c>
      <c r="AS62" s="309"/>
      <c r="AT62" s="309"/>
      <c r="AU62" s="9"/>
    </row>
    <row r="63" spans="17:47" ht="12.75" customHeight="1">
      <c r="Q63" s="9"/>
      <c r="R63" s="9"/>
      <c r="S63" s="9"/>
      <c r="T63" s="9"/>
      <c r="U63" s="9"/>
      <c r="V63" s="9"/>
      <c r="W63" s="9"/>
      <c r="X63" s="32"/>
      <c r="Y63" s="9"/>
      <c r="Z63" s="9"/>
      <c r="AA63" s="9"/>
      <c r="AB63" s="9"/>
      <c r="AC63" s="9"/>
      <c r="AD63" s="9"/>
      <c r="AE63" s="38" t="str">
        <f t="shared" si="3"/>
        <v>Vigo Customer Service MB</v>
      </c>
      <c r="AF63" s="39" t="s">
        <v>439</v>
      </c>
      <c r="AG63" s="39" t="s">
        <v>440</v>
      </c>
      <c r="AH63" s="39" t="s">
        <v>138</v>
      </c>
      <c r="AI63" s="39" t="s">
        <v>266</v>
      </c>
      <c r="AJ63" s="39" t="s">
        <v>150</v>
      </c>
      <c r="AK63" s="39" t="s">
        <v>170</v>
      </c>
      <c r="AL63" s="47" t="s">
        <v>171</v>
      </c>
      <c r="AM63" s="309"/>
      <c r="AN63" s="309"/>
      <c r="AO63" s="62">
        <f t="shared" si="8"/>
        <v>40580</v>
      </c>
      <c r="AP63" s="62">
        <f t="shared" si="4"/>
        <v>40586</v>
      </c>
      <c r="AQ63" s="62">
        <v>6</v>
      </c>
      <c r="AR63" s="62" t="str">
        <f t="shared" si="5"/>
        <v>2011w06</v>
      </c>
      <c r="AS63" s="309"/>
      <c r="AT63" s="309"/>
      <c r="AU63" s="9"/>
    </row>
    <row r="64" spans="17:47" ht="12.75" customHeight="1">
      <c r="Q64" s="9"/>
      <c r="R64" s="9"/>
      <c r="S64" s="9"/>
      <c r="T64" s="9"/>
      <c r="U64" s="9"/>
      <c r="V64" s="9"/>
      <c r="W64" s="9"/>
      <c r="X64" s="32"/>
      <c r="Y64" s="9"/>
      <c r="Z64" s="9"/>
      <c r="AA64" s="9"/>
      <c r="AB64" s="9"/>
      <c r="AC64" s="9"/>
      <c r="AD64" s="9"/>
      <c r="AE64" s="38" t="str">
        <f t="shared" si="3"/>
        <v>OV Customer Service MB</v>
      </c>
      <c r="AF64" s="40" t="s">
        <v>441</v>
      </c>
      <c r="AG64" s="40" t="s">
        <v>442</v>
      </c>
      <c r="AH64" s="40" t="s">
        <v>138</v>
      </c>
      <c r="AI64" s="40" t="s">
        <v>257</v>
      </c>
      <c r="AJ64" s="40" t="s">
        <v>150</v>
      </c>
      <c r="AK64" s="40" t="s">
        <v>170</v>
      </c>
      <c r="AL64" s="49" t="s">
        <v>171</v>
      </c>
      <c r="AM64" s="309"/>
      <c r="AN64" s="309"/>
      <c r="AO64" s="62">
        <f t="shared" si="8"/>
        <v>40587</v>
      </c>
      <c r="AP64" s="62">
        <f t="shared" si="4"/>
        <v>40593</v>
      </c>
      <c r="AQ64" s="62">
        <v>7</v>
      </c>
      <c r="AR64" s="62" t="str">
        <f t="shared" si="5"/>
        <v>2011w07</v>
      </c>
      <c r="AS64" s="309"/>
      <c r="AT64" s="309"/>
      <c r="AU64" s="9"/>
    </row>
    <row r="65" spans="17:47" ht="12.75" customHeight="1">
      <c r="Q65" s="9"/>
      <c r="R65" s="9"/>
      <c r="S65" s="9"/>
      <c r="T65" s="9"/>
      <c r="U65" s="9"/>
      <c r="V65" s="9"/>
      <c r="W65" s="9"/>
      <c r="X65" s="32"/>
      <c r="Y65" s="9"/>
      <c r="Z65" s="9"/>
      <c r="AA65" s="9"/>
      <c r="AB65" s="9"/>
      <c r="AC65" s="9"/>
      <c r="AD65" s="9"/>
      <c r="AE65" s="38" t="str">
        <f t="shared" si="3"/>
        <v>WURSS BO</v>
      </c>
      <c r="AF65" s="39" t="s">
        <v>443</v>
      </c>
      <c r="AG65" s="91" t="s">
        <v>444</v>
      </c>
      <c r="AH65" s="39" t="s">
        <v>138</v>
      </c>
      <c r="AI65" s="39" t="s">
        <v>266</v>
      </c>
      <c r="AJ65" s="39" t="s">
        <v>240</v>
      </c>
      <c r="AK65" s="39" t="s">
        <v>229</v>
      </c>
      <c r="AL65" s="47" t="s">
        <v>171</v>
      </c>
      <c r="AM65" s="309"/>
      <c r="AN65" s="309"/>
      <c r="AO65" s="62">
        <f t="shared" si="8"/>
        <v>40594</v>
      </c>
      <c r="AP65" s="62">
        <f t="shared" si="4"/>
        <v>40600</v>
      </c>
      <c r="AQ65" s="62">
        <v>8</v>
      </c>
      <c r="AR65" s="62" t="str">
        <f t="shared" si="5"/>
        <v>2011w08</v>
      </c>
      <c r="AS65" s="309"/>
      <c r="AT65" s="309"/>
      <c r="AU65" s="9"/>
    </row>
    <row r="66" spans="17:47" ht="12.75" customHeight="1">
      <c r="Q66" s="9"/>
      <c r="R66" s="9"/>
      <c r="S66" s="9"/>
      <c r="T66" s="9"/>
      <c r="U66" s="9"/>
      <c r="V66" s="9"/>
      <c r="W66" s="9"/>
      <c r="X66" s="32"/>
      <c r="Y66" s="9"/>
      <c r="Z66" s="9"/>
      <c r="AA66" s="9"/>
      <c r="AB66" s="9"/>
      <c r="AC66" s="9"/>
      <c r="AD66" s="9"/>
      <c r="AE66" s="38" t="str">
        <f t="shared" si="3"/>
        <v>Correspondence Mail Rack</v>
      </c>
      <c r="AF66" s="40" t="s">
        <v>445</v>
      </c>
      <c r="AG66" s="50" t="s">
        <v>446</v>
      </c>
      <c r="AH66" s="40" t="s">
        <v>138</v>
      </c>
      <c r="AI66" s="40" t="s">
        <v>144</v>
      </c>
      <c r="AJ66" s="40" t="s">
        <v>150</v>
      </c>
      <c r="AK66" s="40" t="s">
        <v>229</v>
      </c>
      <c r="AL66" s="49" t="s">
        <v>171</v>
      </c>
      <c r="AM66" s="309"/>
      <c r="AN66" s="309"/>
      <c r="AO66" s="62">
        <f t="shared" si="8"/>
        <v>40601</v>
      </c>
      <c r="AP66" s="62">
        <f t="shared" si="4"/>
        <v>40607</v>
      </c>
      <c r="AQ66" s="62">
        <v>9</v>
      </c>
      <c r="AR66" s="62" t="str">
        <f t="shared" si="5"/>
        <v>2011w09</v>
      </c>
      <c r="AS66" s="309"/>
      <c r="AT66" s="309"/>
      <c r="AU66" s="9"/>
    </row>
    <row r="67" spans="17:47" ht="12.75" customHeight="1">
      <c r="Q67" s="9"/>
      <c r="R67" s="9"/>
      <c r="S67" s="9"/>
      <c r="T67" s="9"/>
      <c r="U67" s="9"/>
      <c r="V67" s="9"/>
      <c r="W67" s="9"/>
      <c r="X67" s="32"/>
      <c r="Y67" s="9"/>
      <c r="Z67" s="9"/>
      <c r="AA67" s="9"/>
      <c r="AB67" s="9"/>
      <c r="AC67" s="9"/>
      <c r="AD67" s="9"/>
      <c r="AE67" s="38" t="str">
        <f t="shared" si="3"/>
        <v>Correspondence Miscellaneous</v>
      </c>
      <c r="AF67" s="39" t="s">
        <v>447</v>
      </c>
      <c r="AG67" s="39" t="s">
        <v>448</v>
      </c>
      <c r="AH67" s="39" t="s">
        <v>138</v>
      </c>
      <c r="AI67" s="39" t="s">
        <v>144</v>
      </c>
      <c r="AJ67" s="39" t="s">
        <v>150</v>
      </c>
      <c r="AK67" s="39" t="s">
        <v>229</v>
      </c>
      <c r="AL67" s="47" t="s">
        <v>171</v>
      </c>
      <c r="AM67" s="309"/>
      <c r="AN67" s="309"/>
      <c r="AO67" s="62">
        <f t="shared" si="8"/>
        <v>40608</v>
      </c>
      <c r="AP67" s="62">
        <f t="shared" si="4"/>
        <v>40614</v>
      </c>
      <c r="AQ67" s="62">
        <v>10</v>
      </c>
      <c r="AR67" s="62" t="str">
        <f t="shared" si="5"/>
        <v>2011w10</v>
      </c>
      <c r="AS67" s="309"/>
      <c r="AT67" s="309"/>
      <c r="AU67" s="9"/>
    </row>
    <row r="68" spans="17:47" ht="12.75" customHeight="1">
      <c r="Q68" s="9"/>
      <c r="R68" s="9"/>
      <c r="S68" s="9"/>
      <c r="T68" s="9"/>
      <c r="U68" s="9"/>
      <c r="V68" s="9"/>
      <c r="W68" s="9"/>
      <c r="X68" s="32"/>
      <c r="Y68" s="9"/>
      <c r="Z68" s="9"/>
      <c r="AA68" s="9"/>
      <c r="AB68" s="9"/>
      <c r="AC68" s="9"/>
      <c r="AD68" s="9"/>
      <c r="AE68" s="38" t="str">
        <f t="shared" si="3"/>
        <v>TMT Queue</v>
      </c>
      <c r="AF68" s="40" t="s">
        <v>449</v>
      </c>
      <c r="AG68" s="40" t="s">
        <v>450</v>
      </c>
      <c r="AH68" s="40" t="s">
        <v>138</v>
      </c>
      <c r="AI68" s="40" t="s">
        <v>144</v>
      </c>
      <c r="AJ68" s="40" t="s">
        <v>150</v>
      </c>
      <c r="AK68" s="40" t="s">
        <v>229</v>
      </c>
      <c r="AL68" s="49" t="s">
        <v>152</v>
      </c>
      <c r="AM68" s="309"/>
      <c r="AN68" s="309"/>
      <c r="AO68" s="62">
        <f t="shared" si="8"/>
        <v>40615</v>
      </c>
      <c r="AP68" s="62">
        <f t="shared" si="4"/>
        <v>40621</v>
      </c>
      <c r="AQ68" s="62">
        <v>11</v>
      </c>
      <c r="AR68" s="62" t="str">
        <f t="shared" si="5"/>
        <v>2011w11</v>
      </c>
      <c r="AS68" s="309"/>
      <c r="AT68" s="309"/>
      <c r="AU68" s="9"/>
    </row>
    <row r="69" spans="17:47" ht="12.75" customHeight="1">
      <c r="Q69" s="9"/>
      <c r="R69" s="9"/>
      <c r="S69" s="9"/>
      <c r="T69" s="9"/>
      <c r="U69" s="9"/>
      <c r="V69" s="9"/>
      <c r="W69" s="9"/>
      <c r="X69" s="32"/>
      <c r="Y69" s="9"/>
      <c r="Z69" s="9"/>
      <c r="AA69" s="9"/>
      <c r="AB69" s="9"/>
      <c r="AC69" s="9"/>
      <c r="AD69" s="9"/>
      <c r="AE69" s="38" t="str">
        <f t="shared" si="3"/>
        <v>Trace Desk</v>
      </c>
      <c r="AF69" s="39" t="s">
        <v>451</v>
      </c>
      <c r="AG69" s="39" t="s">
        <v>452</v>
      </c>
      <c r="AH69" s="39" t="s">
        <v>138</v>
      </c>
      <c r="AI69" s="39" t="s">
        <v>144</v>
      </c>
      <c r="AJ69" s="39" t="s">
        <v>150</v>
      </c>
      <c r="AK69" s="39" t="s">
        <v>229</v>
      </c>
      <c r="AL69" s="47" t="s">
        <v>171</v>
      </c>
      <c r="AM69" s="309"/>
      <c r="AN69" s="309"/>
      <c r="AO69" s="62">
        <f t="shared" si="8"/>
        <v>40622</v>
      </c>
      <c r="AP69" s="62">
        <f t="shared" si="4"/>
        <v>40628</v>
      </c>
      <c r="AQ69" s="62">
        <v>12</v>
      </c>
      <c r="AR69" s="62" t="str">
        <f t="shared" si="5"/>
        <v>2011w12</v>
      </c>
      <c r="AS69" s="309"/>
      <c r="AT69" s="309"/>
      <c r="AU69" s="9"/>
    </row>
    <row r="70" spans="17:47" ht="12.75" customHeight="1">
      <c r="Q70" s="9"/>
      <c r="R70" s="9"/>
      <c r="S70" s="9"/>
      <c r="T70" s="9"/>
      <c r="U70" s="9"/>
      <c r="V70" s="9"/>
      <c r="W70" s="9"/>
      <c r="X70" s="32"/>
      <c r="Y70" s="9"/>
      <c r="Z70" s="9"/>
      <c r="AA70" s="9"/>
      <c r="AB70" s="9"/>
      <c r="AC70" s="9"/>
      <c r="AD70" s="9"/>
      <c r="AE70" s="38" t="str">
        <f t="shared" si="3"/>
        <v>Loyalty MB</v>
      </c>
      <c r="AF70" s="40" t="s">
        <v>453</v>
      </c>
      <c r="AG70" s="40" t="s">
        <v>454</v>
      </c>
      <c r="AH70" s="40" t="s">
        <v>138</v>
      </c>
      <c r="AI70" s="40" t="s">
        <v>144</v>
      </c>
      <c r="AJ70" s="40" t="s">
        <v>150</v>
      </c>
      <c r="AK70" s="40" t="s">
        <v>229</v>
      </c>
      <c r="AL70" s="49" t="s">
        <v>171</v>
      </c>
      <c r="AM70" s="309"/>
      <c r="AN70" s="309"/>
      <c r="AO70" s="62">
        <f t="shared" si="8"/>
        <v>40629</v>
      </c>
      <c r="AP70" s="62">
        <f t="shared" si="4"/>
        <v>40635</v>
      </c>
      <c r="AQ70" s="62">
        <v>13</v>
      </c>
      <c r="AR70" s="62" t="str">
        <f t="shared" si="5"/>
        <v>2011w13</v>
      </c>
      <c r="AS70" s="309"/>
      <c r="AT70" s="309"/>
      <c r="AU70" s="9"/>
    </row>
    <row r="71" spans="17:47" ht="12.75" customHeight="1">
      <c r="Q71" s="9"/>
      <c r="R71" s="9"/>
      <c r="S71" s="9"/>
      <c r="T71" s="9"/>
      <c r="U71" s="9"/>
      <c r="V71" s="9"/>
      <c r="W71" s="9"/>
      <c r="X71" s="32"/>
      <c r="Y71" s="9"/>
      <c r="Z71" s="9"/>
      <c r="AA71" s="9"/>
      <c r="AB71" s="9"/>
      <c r="AC71" s="9"/>
      <c r="AD71" s="9"/>
      <c r="AE71" s="38" t="str">
        <f t="shared" si="3"/>
        <v>QQC Help Desk</v>
      </c>
      <c r="AF71" s="39" t="s">
        <v>455</v>
      </c>
      <c r="AG71" s="39" t="s">
        <v>456</v>
      </c>
      <c r="AH71" s="39" t="s">
        <v>138</v>
      </c>
      <c r="AI71" s="39" t="s">
        <v>144</v>
      </c>
      <c r="AJ71" s="39" t="s">
        <v>205</v>
      </c>
      <c r="AK71" s="39" t="s">
        <v>170</v>
      </c>
      <c r="AL71" s="47" t="s">
        <v>171</v>
      </c>
      <c r="AM71" s="309"/>
      <c r="AN71" s="309"/>
      <c r="AO71" s="62">
        <f t="shared" si="8"/>
        <v>40636</v>
      </c>
      <c r="AP71" s="62">
        <f t="shared" si="4"/>
        <v>40642</v>
      </c>
      <c r="AQ71" s="62">
        <v>14</v>
      </c>
      <c r="AR71" s="62" t="str">
        <f t="shared" si="5"/>
        <v>2011w14</v>
      </c>
      <c r="AS71" s="309"/>
      <c r="AT71" s="309"/>
      <c r="AU71" s="9"/>
    </row>
    <row r="72" spans="17:47" ht="12.75" customHeight="1">
      <c r="Q72" s="9"/>
      <c r="R72" s="9"/>
      <c r="S72" s="9"/>
      <c r="T72" s="9"/>
      <c r="U72" s="9"/>
      <c r="V72" s="9"/>
      <c r="W72" s="9"/>
      <c r="X72" s="32"/>
      <c r="Y72" s="9"/>
      <c r="Z72" s="9"/>
      <c r="AA72" s="9"/>
      <c r="AB72" s="9"/>
      <c r="AC72" s="9"/>
      <c r="AD72" s="9"/>
      <c r="AE72" s="38" t="str">
        <f t="shared" si="3"/>
        <v>Web Chat</v>
      </c>
      <c r="AF72" s="40" t="s">
        <v>457</v>
      </c>
      <c r="AG72" s="40" t="s">
        <v>458</v>
      </c>
      <c r="AH72" s="40" t="s">
        <v>138</v>
      </c>
      <c r="AI72" s="40" t="s">
        <v>144</v>
      </c>
      <c r="AJ72" s="40" t="s">
        <v>150</v>
      </c>
      <c r="AK72" s="40" t="s">
        <v>229</v>
      </c>
      <c r="AL72" s="49" t="s">
        <v>171</v>
      </c>
      <c r="AM72" s="309"/>
      <c r="AN72" s="309"/>
      <c r="AO72" s="62">
        <f t="shared" si="8"/>
        <v>40643</v>
      </c>
      <c r="AP72" s="62">
        <f t="shared" si="4"/>
        <v>40649</v>
      </c>
      <c r="AQ72" s="62">
        <v>15</v>
      </c>
      <c r="AR72" s="62" t="str">
        <f t="shared" si="5"/>
        <v>2011w15</v>
      </c>
      <c r="AS72" s="309"/>
      <c r="AT72" s="309"/>
      <c r="AU72" s="9"/>
    </row>
    <row r="73" spans="17:47" ht="12.75" customHeight="1">
      <c r="Q73" s="9"/>
      <c r="R73" s="9"/>
      <c r="S73" s="9"/>
      <c r="T73" s="9"/>
      <c r="U73" s="9"/>
      <c r="V73" s="9"/>
      <c r="W73" s="9"/>
      <c r="X73" s="32"/>
      <c r="Y73" s="9"/>
      <c r="Z73" s="9"/>
      <c r="AA73" s="9"/>
      <c r="AB73" s="9"/>
      <c r="AC73" s="9"/>
      <c r="AD73" s="9"/>
      <c r="AE73" s="38" t="str">
        <f t="shared" si="3"/>
        <v>Web Email</v>
      </c>
      <c r="AF73" s="39" t="s">
        <v>459</v>
      </c>
      <c r="AG73" s="39" t="s">
        <v>460</v>
      </c>
      <c r="AH73" s="39" t="s">
        <v>138</v>
      </c>
      <c r="AI73" s="39" t="s">
        <v>144</v>
      </c>
      <c r="AJ73" s="39" t="s">
        <v>150</v>
      </c>
      <c r="AK73" s="39" t="s">
        <v>229</v>
      </c>
      <c r="AL73" s="47" t="s">
        <v>171</v>
      </c>
      <c r="AM73" s="309"/>
      <c r="AN73" s="309"/>
      <c r="AO73" s="62">
        <f t="shared" si="8"/>
        <v>40650</v>
      </c>
      <c r="AP73" s="62">
        <f t="shared" si="4"/>
        <v>40656</v>
      </c>
      <c r="AQ73" s="62">
        <v>16</v>
      </c>
      <c r="AR73" s="62" t="str">
        <f t="shared" si="5"/>
        <v>2011w16</v>
      </c>
      <c r="AS73" s="309"/>
      <c r="AT73" s="309"/>
      <c r="AU73" s="9"/>
    </row>
    <row r="74" spans="17:47" ht="12.75" customHeight="1">
      <c r="Q74" s="9"/>
      <c r="R74" s="9"/>
      <c r="S74" s="9"/>
      <c r="T74" s="9"/>
      <c r="U74" s="9"/>
      <c r="V74" s="9"/>
      <c r="W74" s="9"/>
      <c r="X74" s="32"/>
      <c r="Y74" s="9"/>
      <c r="Z74" s="9"/>
      <c r="AA74" s="9"/>
      <c r="AB74" s="9"/>
      <c r="AC74" s="9"/>
      <c r="AD74" s="9"/>
      <c r="AE74" s="38" t="str">
        <f t="shared" si="3"/>
        <v>IAS Agent Escalation MB</v>
      </c>
      <c r="AF74" s="40" t="s">
        <v>461</v>
      </c>
      <c r="AG74" s="40" t="s">
        <v>462</v>
      </c>
      <c r="AH74" s="40" t="s">
        <v>138</v>
      </c>
      <c r="AI74" s="40" t="s">
        <v>144</v>
      </c>
      <c r="AJ74" s="40" t="s">
        <v>240</v>
      </c>
      <c r="AK74" s="40" t="s">
        <v>170</v>
      </c>
      <c r="AL74" s="49" t="s">
        <v>171</v>
      </c>
      <c r="AM74" s="309"/>
      <c r="AN74" s="309"/>
      <c r="AO74" s="62">
        <f t="shared" si="8"/>
        <v>40657</v>
      </c>
      <c r="AP74" s="62">
        <f t="shared" si="4"/>
        <v>40663</v>
      </c>
      <c r="AQ74" s="62">
        <v>17</v>
      </c>
      <c r="AR74" s="62" t="str">
        <f t="shared" si="5"/>
        <v>2011w17</v>
      </c>
      <c r="AS74" s="309"/>
      <c r="AT74" s="309"/>
      <c r="AU74" s="9"/>
    </row>
    <row r="75" spans="17:47" ht="12.75" customHeight="1">
      <c r="Q75" s="9"/>
      <c r="R75" s="9"/>
      <c r="S75" s="9"/>
      <c r="T75" s="9"/>
      <c r="U75" s="9"/>
      <c r="V75" s="9"/>
      <c r="W75" s="9"/>
      <c r="X75" s="32"/>
      <c r="Y75" s="9"/>
      <c r="Z75" s="9"/>
      <c r="AA75" s="9"/>
      <c r="AB75" s="9"/>
      <c r="AC75" s="9"/>
      <c r="AD75" s="9"/>
      <c r="AE75" s="38" t="str">
        <f t="shared" si="3"/>
        <v>IAS T1 MB</v>
      </c>
      <c r="AF75" s="39" t="s">
        <v>463</v>
      </c>
      <c r="AG75" s="39" t="s">
        <v>464</v>
      </c>
      <c r="AH75" s="39" t="s">
        <v>138</v>
      </c>
      <c r="AI75" s="39" t="s">
        <v>144</v>
      </c>
      <c r="AJ75" s="39" t="s">
        <v>240</v>
      </c>
      <c r="AK75" s="39" t="s">
        <v>170</v>
      </c>
      <c r="AL75" s="47" t="s">
        <v>171</v>
      </c>
      <c r="AM75" s="309"/>
      <c r="AN75" s="309"/>
      <c r="AO75" s="62">
        <f t="shared" si="8"/>
        <v>40664</v>
      </c>
      <c r="AP75" s="62">
        <f t="shared" si="4"/>
        <v>40670</v>
      </c>
      <c r="AQ75" s="62">
        <v>18</v>
      </c>
      <c r="AR75" s="62" t="str">
        <f t="shared" si="5"/>
        <v>2011w18</v>
      </c>
      <c r="AS75" s="309"/>
      <c r="AT75" s="309"/>
      <c r="AU75" s="9"/>
    </row>
    <row r="76" spans="17:47" ht="12.75" customHeight="1">
      <c r="Q76" s="9"/>
      <c r="R76" s="9"/>
      <c r="S76" s="9"/>
      <c r="T76" s="9"/>
      <c r="U76" s="9"/>
      <c r="V76" s="9"/>
      <c r="W76" s="9"/>
      <c r="X76" s="32"/>
      <c r="Y76" s="9"/>
      <c r="Z76" s="9"/>
      <c r="AA76" s="9"/>
      <c r="AB76" s="9"/>
      <c r="AC76" s="9"/>
      <c r="AD76" s="9"/>
      <c r="AE76" s="38" t="str">
        <f t="shared" si="3"/>
        <v>GCAPP NPC</v>
      </c>
      <c r="AF76" s="40" t="s">
        <v>465</v>
      </c>
      <c r="AG76" s="40" t="s">
        <v>466</v>
      </c>
      <c r="AH76" s="40" t="s">
        <v>138</v>
      </c>
      <c r="AI76" s="40" t="s">
        <v>144</v>
      </c>
      <c r="AJ76" s="40" t="s">
        <v>150</v>
      </c>
      <c r="AK76" s="40" t="s">
        <v>229</v>
      </c>
      <c r="AL76" s="49" t="s">
        <v>171</v>
      </c>
      <c r="AM76" s="309"/>
      <c r="AN76" s="309"/>
      <c r="AO76" s="62">
        <f t="shared" si="8"/>
        <v>40671</v>
      </c>
      <c r="AP76" s="62">
        <f t="shared" si="4"/>
        <v>40677</v>
      </c>
      <c r="AQ76" s="62">
        <v>19</v>
      </c>
      <c r="AR76" s="62" t="str">
        <f t="shared" si="5"/>
        <v>2011w19</v>
      </c>
      <c r="AS76" s="309"/>
      <c r="AT76" s="309"/>
      <c r="AU76" s="9"/>
    </row>
    <row r="77" spans="17:47" ht="12.75" customHeight="1">
      <c r="Q77" s="9"/>
      <c r="R77" s="9"/>
      <c r="S77" s="9"/>
      <c r="T77" s="9"/>
      <c r="U77" s="9"/>
      <c r="V77" s="9"/>
      <c r="W77" s="9"/>
      <c r="X77" s="32"/>
      <c r="Y77" s="9"/>
      <c r="Z77" s="9"/>
      <c r="AA77" s="9"/>
      <c r="AB77" s="9"/>
      <c r="AC77" s="9"/>
      <c r="AD77" s="9"/>
      <c r="AE77" s="38" t="str">
        <f t="shared" si="3"/>
        <v>GCAPP Agent Fraud</v>
      </c>
      <c r="AF77" s="39" t="s">
        <v>467</v>
      </c>
      <c r="AG77" s="39" t="s">
        <v>468</v>
      </c>
      <c r="AH77" s="39" t="s">
        <v>138</v>
      </c>
      <c r="AI77" s="39" t="s">
        <v>144</v>
      </c>
      <c r="AJ77" s="39" t="s">
        <v>150</v>
      </c>
      <c r="AK77" s="39" t="s">
        <v>170</v>
      </c>
      <c r="AL77" s="47" t="s">
        <v>171</v>
      </c>
      <c r="AM77" s="309"/>
      <c r="AN77" s="309"/>
      <c r="AO77" s="62">
        <f t="shared" si="8"/>
        <v>40678</v>
      </c>
      <c r="AP77" s="62">
        <f t="shared" si="4"/>
        <v>40684</v>
      </c>
      <c r="AQ77" s="62">
        <v>20</v>
      </c>
      <c r="AR77" s="62" t="str">
        <f t="shared" si="5"/>
        <v>2011w20</v>
      </c>
      <c r="AS77" s="309"/>
      <c r="AT77" s="309"/>
      <c r="AU77" s="9"/>
    </row>
    <row r="78" spans="17:47" ht="12.75" customHeight="1">
      <c r="Q78" s="9"/>
      <c r="R78" s="9"/>
      <c r="S78" s="9"/>
      <c r="T78" s="9"/>
      <c r="U78" s="9"/>
      <c r="V78" s="9"/>
      <c r="W78" s="9"/>
      <c r="X78" s="32"/>
      <c r="Y78" s="9"/>
      <c r="Z78" s="9"/>
      <c r="AA78" s="9"/>
      <c r="AB78" s="9"/>
      <c r="AC78" s="9"/>
      <c r="AD78" s="9"/>
      <c r="AE78" s="38" t="str">
        <f t="shared" si="3"/>
        <v>GCAPP Law Enforcement</v>
      </c>
      <c r="AF78" s="40" t="s">
        <v>469</v>
      </c>
      <c r="AG78" s="40" t="s">
        <v>470</v>
      </c>
      <c r="AH78" s="40" t="s">
        <v>138</v>
      </c>
      <c r="AI78" s="40" t="s">
        <v>144</v>
      </c>
      <c r="AJ78" s="40" t="s">
        <v>150</v>
      </c>
      <c r="AK78" s="40" t="s">
        <v>151</v>
      </c>
      <c r="AL78" s="49" t="s">
        <v>171</v>
      </c>
      <c r="AM78" s="309"/>
      <c r="AN78" s="309"/>
      <c r="AO78" s="62">
        <f t="shared" si="8"/>
        <v>40685</v>
      </c>
      <c r="AP78" s="62">
        <f t="shared" si="4"/>
        <v>40691</v>
      </c>
      <c r="AQ78" s="62">
        <v>21</v>
      </c>
      <c r="AR78" s="62" t="str">
        <f t="shared" si="5"/>
        <v>2011w21</v>
      </c>
      <c r="AS78" s="309"/>
      <c r="AT78" s="309"/>
      <c r="AU78" s="9"/>
    </row>
    <row r="79" spans="17:47" ht="12.75" customHeight="1">
      <c r="Q79" s="9"/>
      <c r="R79" s="9"/>
      <c r="S79" s="9"/>
      <c r="T79" s="9"/>
      <c r="U79" s="9"/>
      <c r="V79" s="9"/>
      <c r="W79" s="9"/>
      <c r="X79" s="32"/>
      <c r="Y79" s="9"/>
      <c r="Z79" s="9"/>
      <c r="AA79" s="9"/>
      <c r="AB79" s="9"/>
      <c r="AC79" s="9"/>
      <c r="AD79" s="9"/>
      <c r="AE79" s="38" t="str">
        <f t="shared" si="3"/>
        <v>APAC Consumer Services Inbox</v>
      </c>
      <c r="AF79" s="39" t="s">
        <v>471</v>
      </c>
      <c r="AG79" s="91" t="s">
        <v>472</v>
      </c>
      <c r="AH79" s="39" t="s">
        <v>138</v>
      </c>
      <c r="AI79" s="39" t="s">
        <v>144</v>
      </c>
      <c r="AJ79" s="39" t="s">
        <v>189</v>
      </c>
      <c r="AK79" s="39" t="s">
        <v>229</v>
      </c>
      <c r="AL79" s="47" t="s">
        <v>171</v>
      </c>
      <c r="AM79" s="309"/>
      <c r="AN79" s="309"/>
      <c r="AO79" s="62">
        <f t="shared" si="8"/>
        <v>40692</v>
      </c>
      <c r="AP79" s="62">
        <f t="shared" si="4"/>
        <v>40698</v>
      </c>
      <c r="AQ79" s="62">
        <v>22</v>
      </c>
      <c r="AR79" s="62" t="str">
        <f t="shared" si="5"/>
        <v>2011w22</v>
      </c>
      <c r="AS79" s="309"/>
      <c r="AT79" s="309"/>
      <c r="AU79" s="9"/>
    </row>
    <row r="80" spans="17:47" ht="12.75" customHeight="1">
      <c r="Q80" s="9"/>
      <c r="R80" s="9"/>
      <c r="S80" s="9"/>
      <c r="T80" s="9"/>
      <c r="U80" s="9"/>
      <c r="V80" s="9"/>
      <c r="W80" s="9"/>
      <c r="X80" s="32"/>
      <c r="Y80" s="9"/>
      <c r="Z80" s="9"/>
      <c r="AA80" s="9"/>
      <c r="AB80" s="9"/>
      <c r="AC80" s="9"/>
      <c r="AD80" s="9"/>
      <c r="AE80" s="38" t="str">
        <f t="shared" si="3"/>
        <v>OV/Vigo Agent Services BO</v>
      </c>
      <c r="AF80" s="40" t="s">
        <v>473</v>
      </c>
      <c r="AG80" s="40" t="s">
        <v>474</v>
      </c>
      <c r="AH80" s="40" t="s">
        <v>138</v>
      </c>
      <c r="AI80" s="40" t="s">
        <v>475</v>
      </c>
      <c r="AJ80" s="40" t="s">
        <v>150</v>
      </c>
      <c r="AK80" s="40" t="s">
        <v>170</v>
      </c>
      <c r="AL80" s="49" t="s">
        <v>171</v>
      </c>
      <c r="AM80" s="309"/>
      <c r="AN80" s="309"/>
      <c r="AO80" s="62">
        <f t="shared" si="8"/>
        <v>40699</v>
      </c>
      <c r="AP80" s="62">
        <f t="shared" si="4"/>
        <v>40705</v>
      </c>
      <c r="AQ80" s="62">
        <v>23</v>
      </c>
      <c r="AR80" s="62" t="str">
        <f t="shared" si="5"/>
        <v>2011w23</v>
      </c>
      <c r="AS80" s="309"/>
      <c r="AT80" s="309"/>
      <c r="AU80" s="9"/>
    </row>
    <row r="81" spans="17:47" ht="12.75" customHeight="1">
      <c r="Q81" s="9"/>
      <c r="R81" s="9"/>
      <c r="S81" s="9"/>
      <c r="T81" s="9"/>
      <c r="U81" s="9"/>
      <c r="V81" s="9"/>
      <c r="W81" s="9"/>
      <c r="X81" s="32"/>
      <c r="Y81" s="9"/>
      <c r="Z81" s="9"/>
      <c r="AA81" s="9"/>
      <c r="AB81" s="9"/>
      <c r="AC81" s="9"/>
      <c r="AD81" s="9"/>
      <c r="AE81" s="38" t="str">
        <f t="shared" si="3"/>
        <v>OV/Vigo Tech Support BO</v>
      </c>
      <c r="AF81" s="39" t="s">
        <v>476</v>
      </c>
      <c r="AG81" s="39" t="s">
        <v>477</v>
      </c>
      <c r="AH81" s="39" t="s">
        <v>138</v>
      </c>
      <c r="AI81" s="39" t="s">
        <v>475</v>
      </c>
      <c r="AJ81" s="39" t="s">
        <v>150</v>
      </c>
      <c r="AK81" s="39" t="s">
        <v>170</v>
      </c>
      <c r="AL81" s="47" t="s">
        <v>171</v>
      </c>
      <c r="AM81" s="309"/>
      <c r="AN81" s="309"/>
      <c r="AO81" s="62">
        <f t="shared" si="8"/>
        <v>40706</v>
      </c>
      <c r="AP81" s="62">
        <f t="shared" si="4"/>
        <v>40712</v>
      </c>
      <c r="AQ81" s="62">
        <v>24</v>
      </c>
      <c r="AR81" s="62" t="str">
        <f t="shared" si="5"/>
        <v>2011w24</v>
      </c>
      <c r="AS81" s="309"/>
      <c r="AT81" s="309"/>
      <c r="AU81" s="9"/>
    </row>
    <row r="82" spans="17:47" ht="12.75" customHeight="1">
      <c r="Q82" s="9"/>
      <c r="R82" s="9"/>
      <c r="S82" s="9"/>
      <c r="T82" s="9"/>
      <c r="U82" s="9"/>
      <c r="V82" s="9"/>
      <c r="W82" s="9"/>
      <c r="X82" s="32"/>
      <c r="Y82" s="9"/>
      <c r="Z82" s="9"/>
      <c r="AA82" s="9"/>
      <c r="AB82" s="9"/>
      <c r="AC82" s="9"/>
      <c r="AD82" s="9"/>
      <c r="AE82" s="38" t="str">
        <f t="shared" si="3"/>
        <v>LPT OV/Vigo Queue</v>
      </c>
      <c r="AF82" s="40" t="s">
        <v>478</v>
      </c>
      <c r="AG82" s="40" t="s">
        <v>479</v>
      </c>
      <c r="AH82" s="40" t="s">
        <v>138</v>
      </c>
      <c r="AI82" s="40" t="s">
        <v>475</v>
      </c>
      <c r="AJ82" s="40" t="s">
        <v>150</v>
      </c>
      <c r="AK82" s="40" t="s">
        <v>170</v>
      </c>
      <c r="AL82" s="49" t="s">
        <v>171</v>
      </c>
      <c r="AM82" s="309"/>
      <c r="AN82" s="309"/>
      <c r="AO82" s="62">
        <f t="shared" si="8"/>
        <v>40713</v>
      </c>
      <c r="AP82" s="62">
        <f t="shared" si="4"/>
        <v>40719</v>
      </c>
      <c r="AQ82" s="62">
        <v>25</v>
      </c>
      <c r="AR82" s="62" t="str">
        <f t="shared" si="5"/>
        <v>2011w25</v>
      </c>
      <c r="AS82" s="309"/>
      <c r="AT82" s="309"/>
      <c r="AU82" s="9"/>
    </row>
    <row r="83" spans="17:47" ht="12.75" customHeight="1">
      <c r="Q83" s="9"/>
      <c r="R83" s="9"/>
      <c r="S83" s="9"/>
      <c r="T83" s="9"/>
      <c r="U83" s="9"/>
      <c r="V83" s="9"/>
      <c r="W83" s="9"/>
      <c r="X83" s="32"/>
      <c r="Y83" s="9"/>
      <c r="Z83" s="9"/>
      <c r="AA83" s="9"/>
      <c r="AB83" s="9"/>
      <c r="AC83" s="9"/>
      <c r="AD83" s="9"/>
      <c r="AE83" s="38" t="str">
        <f t="shared" si="3"/>
        <v>LPT OV/Vigo MB</v>
      </c>
      <c r="AF83" s="39" t="s">
        <v>480</v>
      </c>
      <c r="AG83" s="39" t="s">
        <v>481</v>
      </c>
      <c r="AH83" s="39" t="s">
        <v>138</v>
      </c>
      <c r="AI83" s="39" t="s">
        <v>475</v>
      </c>
      <c r="AJ83" s="39" t="s">
        <v>150</v>
      </c>
      <c r="AK83" s="39" t="s">
        <v>170</v>
      </c>
      <c r="AL83" s="47" t="s">
        <v>171</v>
      </c>
      <c r="AM83" s="309"/>
      <c r="AN83" s="309"/>
      <c r="AO83" s="62">
        <f t="shared" si="8"/>
        <v>40720</v>
      </c>
      <c r="AP83" s="62">
        <f t="shared" si="4"/>
        <v>40726</v>
      </c>
      <c r="AQ83" s="62">
        <v>26</v>
      </c>
      <c r="AR83" s="62" t="str">
        <f t="shared" si="5"/>
        <v>2011w26</v>
      </c>
      <c r="AS83" s="309"/>
      <c r="AT83" s="309"/>
      <c r="AU83" s="9"/>
    </row>
    <row r="84" spans="17:47" ht="12.75" customHeight="1">
      <c r="Q84" s="9"/>
      <c r="R84" s="9"/>
      <c r="S84" s="9"/>
      <c r="T84" s="9"/>
      <c r="U84" s="9"/>
      <c r="V84" s="9"/>
      <c r="W84" s="9"/>
      <c r="X84" s="32"/>
      <c r="Y84" s="9"/>
      <c r="Z84" s="9"/>
      <c r="AA84" s="9"/>
      <c r="AB84" s="9"/>
      <c r="AC84" s="9"/>
      <c r="AD84" s="9"/>
      <c r="AE84" s="38" t="str">
        <f t="shared" si="3"/>
        <v>OV/Vigo IAS MB</v>
      </c>
      <c r="AF84" s="40" t="s">
        <v>482</v>
      </c>
      <c r="AG84" s="40" t="s">
        <v>483</v>
      </c>
      <c r="AH84" s="40" t="s">
        <v>138</v>
      </c>
      <c r="AI84" s="40" t="s">
        <v>475</v>
      </c>
      <c r="AJ84" s="40" t="s">
        <v>150</v>
      </c>
      <c r="AK84" s="40" t="s">
        <v>170</v>
      </c>
      <c r="AL84" s="49" t="s">
        <v>171</v>
      </c>
      <c r="AM84" s="309"/>
      <c r="AN84" s="309"/>
      <c r="AO84" s="62">
        <f t="shared" si="8"/>
        <v>40727</v>
      </c>
      <c r="AP84" s="62">
        <f t="shared" si="4"/>
        <v>40733</v>
      </c>
      <c r="AQ84" s="62">
        <v>27</v>
      </c>
      <c r="AR84" s="62" t="str">
        <f t="shared" si="5"/>
        <v>2011w27</v>
      </c>
      <c r="AS84" s="309"/>
      <c r="AT84" s="309"/>
      <c r="AU84" s="9"/>
    </row>
    <row r="85" spans="17:47" ht="12.75" customHeight="1">
      <c r="Q85" s="9"/>
      <c r="R85" s="9"/>
      <c r="S85" s="9"/>
      <c r="T85" s="9"/>
      <c r="U85" s="9"/>
      <c r="V85" s="9"/>
      <c r="W85" s="9"/>
      <c r="X85" s="32"/>
      <c r="Y85" s="9"/>
      <c r="Z85" s="9"/>
      <c r="AA85" s="9"/>
      <c r="AB85" s="9"/>
      <c r="AC85" s="9"/>
      <c r="AD85" s="9"/>
      <c r="AE85" s="38" t="str">
        <f t="shared" si="3"/>
        <v>OV/Vigo Independent Agents Facsys</v>
      </c>
      <c r="AF85" s="39" t="s">
        <v>484</v>
      </c>
      <c r="AG85" s="39" t="s">
        <v>485</v>
      </c>
      <c r="AH85" s="39" t="s">
        <v>138</v>
      </c>
      <c r="AI85" s="39" t="s">
        <v>475</v>
      </c>
      <c r="AJ85" s="39" t="s">
        <v>150</v>
      </c>
      <c r="AK85" s="39" t="s">
        <v>170</v>
      </c>
      <c r="AL85" s="47" t="s">
        <v>171</v>
      </c>
      <c r="AM85" s="309"/>
      <c r="AN85" s="309"/>
      <c r="AO85" s="62">
        <f t="shared" si="8"/>
        <v>40734</v>
      </c>
      <c r="AP85" s="62">
        <f t="shared" si="4"/>
        <v>40740</v>
      </c>
      <c r="AQ85" s="62">
        <v>28</v>
      </c>
      <c r="AR85" s="62" t="str">
        <f t="shared" si="5"/>
        <v>2011w28</v>
      </c>
      <c r="AS85" s="309"/>
      <c r="AT85" s="309"/>
      <c r="AU85" s="9"/>
    </row>
    <row r="86" spans="17:47" ht="12.75" customHeight="1">
      <c r="Q86" s="9"/>
      <c r="R86" s="9"/>
      <c r="S86" s="9"/>
      <c r="T86" s="9"/>
      <c r="U86" s="9"/>
      <c r="V86" s="9"/>
      <c r="W86" s="9"/>
      <c r="X86" s="32"/>
      <c r="Y86" s="9"/>
      <c r="Z86" s="9"/>
      <c r="AA86" s="9"/>
      <c r="AB86" s="9"/>
      <c r="AC86" s="9"/>
      <c r="AD86" s="9"/>
      <c r="AE86" s="38" t="str">
        <f t="shared" si="3"/>
        <v>Global Offline Template</v>
      </c>
      <c r="AF86" s="40" t="s">
        <v>486</v>
      </c>
      <c r="AG86" s="40" t="s">
        <v>487</v>
      </c>
      <c r="AH86" s="40" t="s">
        <v>138</v>
      </c>
      <c r="AI86" s="40" t="s">
        <v>144</v>
      </c>
      <c r="AJ86" s="40" t="s">
        <v>150</v>
      </c>
      <c r="AK86" s="40" t="s">
        <v>151</v>
      </c>
      <c r="AL86" s="49" t="s">
        <v>152</v>
      </c>
      <c r="AM86" s="309"/>
      <c r="AN86" s="309"/>
      <c r="AO86" s="62">
        <f t="shared" si="8"/>
        <v>40741</v>
      </c>
      <c r="AP86" s="62">
        <f t="shared" si="4"/>
        <v>40747</v>
      </c>
      <c r="AQ86" s="62">
        <v>29</v>
      </c>
      <c r="AR86" s="62" t="str">
        <f t="shared" si="5"/>
        <v>2011w29</v>
      </c>
      <c r="AS86" s="309"/>
      <c r="AT86" s="309"/>
      <c r="AU86" s="9"/>
    </row>
    <row r="87" spans="17:47" ht="12.75" customHeight="1">
      <c r="Q87" s="9"/>
      <c r="R87" s="9"/>
      <c r="S87" s="9"/>
      <c r="T87" s="9"/>
      <c r="U87" s="9"/>
      <c r="V87" s="9"/>
      <c r="W87" s="9"/>
      <c r="X87" s="32"/>
      <c r="Y87" s="9"/>
      <c r="Z87" s="9"/>
      <c r="AA87" s="9"/>
      <c r="AB87" s="9"/>
      <c r="AC87" s="9"/>
      <c r="AD87" s="9"/>
      <c r="AE87" s="38" t="str">
        <f t="shared" si="3"/>
        <v>APAC Mobile MT</v>
      </c>
      <c r="AF87" s="39" t="s">
        <v>488</v>
      </c>
      <c r="AG87" s="39" t="s">
        <v>489</v>
      </c>
      <c r="AH87" s="39" t="s">
        <v>138</v>
      </c>
      <c r="AI87" s="39" t="s">
        <v>144</v>
      </c>
      <c r="AJ87" s="39" t="s">
        <v>189</v>
      </c>
      <c r="AK87" s="39" t="s">
        <v>229</v>
      </c>
      <c r="AL87" s="47" t="s">
        <v>171</v>
      </c>
      <c r="AM87" s="309"/>
      <c r="AN87" s="309"/>
      <c r="AO87" s="62">
        <f t="shared" si="8"/>
        <v>40748</v>
      </c>
      <c r="AP87" s="62">
        <f t="shared" si="4"/>
        <v>40754</v>
      </c>
      <c r="AQ87" s="62">
        <v>30</v>
      </c>
      <c r="AR87" s="62" t="str">
        <f t="shared" si="5"/>
        <v>2011w30</v>
      </c>
      <c r="AS87" s="309"/>
      <c r="AT87" s="309"/>
      <c r="AU87" s="9"/>
    </row>
    <row r="88" spans="17:47" ht="12.75" customHeight="1">
      <c r="Q88" s="9"/>
      <c r="R88" s="9"/>
      <c r="S88" s="9"/>
      <c r="T88" s="9"/>
      <c r="U88" s="9"/>
      <c r="V88" s="9"/>
      <c r="W88" s="9"/>
      <c r="X88" s="9"/>
      <c r="Y88" s="9" t="s">
        <v>229</v>
      </c>
      <c r="Z88" s="9"/>
      <c r="AA88" s="9"/>
      <c r="AB88" s="9"/>
      <c r="AC88" s="9"/>
      <c r="AD88" s="9"/>
      <c r="AE88" s="38" t="str">
        <f t="shared" si="3"/>
        <v>APAC D2B</v>
      </c>
      <c r="AF88" s="40" t="s">
        <v>490</v>
      </c>
      <c r="AG88" s="40" t="s">
        <v>491</v>
      </c>
      <c r="AH88" s="40" t="s">
        <v>138</v>
      </c>
      <c r="AI88" s="40" t="s">
        <v>144</v>
      </c>
      <c r="AJ88" s="40" t="s">
        <v>189</v>
      </c>
      <c r="AK88" s="40" t="s">
        <v>229</v>
      </c>
      <c r="AL88" s="49" t="s">
        <v>152</v>
      </c>
      <c r="AM88" s="309"/>
      <c r="AN88" s="309"/>
      <c r="AO88" s="62">
        <f t="shared" si="8"/>
        <v>40755</v>
      </c>
      <c r="AP88" s="62">
        <f t="shared" si="4"/>
        <v>40761</v>
      </c>
      <c r="AQ88" s="62">
        <v>31</v>
      </c>
      <c r="AR88" s="62" t="str">
        <f t="shared" si="5"/>
        <v>2011w31</v>
      </c>
      <c r="AS88" s="309"/>
      <c r="AT88" s="309"/>
      <c r="AU88" s="9"/>
    </row>
    <row r="89" spans="17:47" ht="12.75" customHeight="1">
      <c r="Q89" s="9"/>
      <c r="R89" s="9"/>
      <c r="S89" s="9"/>
      <c r="T89" s="9"/>
      <c r="U89" s="9"/>
      <c r="V89" s="9"/>
      <c r="W89" s="9"/>
      <c r="X89" s="9"/>
      <c r="Y89" s="9" t="s">
        <v>229</v>
      </c>
      <c r="Z89" s="9"/>
      <c r="AA89" s="9"/>
      <c r="AB89" s="9"/>
      <c r="AC89" s="9"/>
      <c r="AD89" s="9"/>
      <c r="AE89" s="38" t="str">
        <f t="shared" si="3"/>
        <v>Phoneout</v>
      </c>
      <c r="AF89" s="39" t="s">
        <v>492</v>
      </c>
      <c r="AG89" s="39" t="s">
        <v>493</v>
      </c>
      <c r="AH89" s="39" t="s">
        <v>138</v>
      </c>
      <c r="AI89" s="39" t="s">
        <v>144</v>
      </c>
      <c r="AJ89" s="39" t="s">
        <v>150</v>
      </c>
      <c r="AK89" s="39" t="s">
        <v>229</v>
      </c>
      <c r="AL89" s="47" t="s">
        <v>171</v>
      </c>
      <c r="AM89" s="309"/>
      <c r="AN89" s="309"/>
      <c r="AO89" s="62">
        <f t="shared" si="8"/>
        <v>40762</v>
      </c>
      <c r="AP89" s="62">
        <f t="shared" si="4"/>
        <v>40768</v>
      </c>
      <c r="AQ89" s="62">
        <v>32</v>
      </c>
      <c r="AR89" s="62" t="str">
        <f t="shared" si="5"/>
        <v>2011w32</v>
      </c>
      <c r="AS89" s="309"/>
      <c r="AT89" s="309"/>
      <c r="AU89" s="9"/>
    </row>
    <row r="90" spans="17:47" ht="12.75" customHeight="1">
      <c r="Q90" s="9"/>
      <c r="R90" s="9"/>
      <c r="S90" s="9"/>
      <c r="T90" s="9"/>
      <c r="U90" s="9"/>
      <c r="V90" s="9"/>
      <c r="W90" s="9"/>
      <c r="X90" s="9"/>
      <c r="Y90" s="9" t="s">
        <v>229</v>
      </c>
      <c r="Z90" s="9"/>
      <c r="AA90" s="9"/>
      <c r="AB90" s="9"/>
      <c r="AC90" s="9"/>
      <c r="AD90" s="9"/>
      <c r="AE90" s="38" t="str">
        <f t="shared" si="3"/>
        <v>Mexmo</v>
      </c>
      <c r="AF90" s="40" t="s">
        <v>494</v>
      </c>
      <c r="AG90" s="40" t="s">
        <v>495</v>
      </c>
      <c r="AH90" s="40" t="s">
        <v>138</v>
      </c>
      <c r="AI90" s="40" t="s">
        <v>144</v>
      </c>
      <c r="AJ90" s="40" t="s">
        <v>150</v>
      </c>
      <c r="AK90" s="40" t="s">
        <v>229</v>
      </c>
      <c r="AL90" s="49" t="s">
        <v>171</v>
      </c>
      <c r="AM90" s="309"/>
      <c r="AN90" s="309"/>
      <c r="AO90" s="62">
        <f t="shared" si="8"/>
        <v>40769</v>
      </c>
      <c r="AP90" s="62">
        <f t="shared" si="4"/>
        <v>40775</v>
      </c>
      <c r="AQ90" s="62">
        <v>33</v>
      </c>
      <c r="AR90" s="62" t="str">
        <f t="shared" si="5"/>
        <v>2011w33</v>
      </c>
      <c r="AS90" s="309"/>
      <c r="AT90" s="309"/>
      <c r="AU90" s="9"/>
    </row>
    <row r="91" spans="17:47" ht="12.75" customHeight="1">
      <c r="Q91" s="9"/>
      <c r="R91" s="9"/>
      <c r="S91" s="9"/>
      <c r="T91" s="9"/>
      <c r="U91" s="9"/>
      <c r="V91" s="9"/>
      <c r="W91" s="9"/>
      <c r="X91" s="9"/>
      <c r="Y91" s="9" t="s">
        <v>229</v>
      </c>
      <c r="Z91" s="9"/>
      <c r="AA91" s="9"/>
      <c r="AB91" s="9"/>
      <c r="AC91" s="9"/>
      <c r="AD91" s="9"/>
      <c r="AE91" s="38" t="str">
        <f t="shared" si="3"/>
        <v>International Customer Service Desk</v>
      </c>
      <c r="AF91" s="39" t="s">
        <v>496</v>
      </c>
      <c r="AG91" s="39" t="s">
        <v>497</v>
      </c>
      <c r="AH91" s="39" t="s">
        <v>138</v>
      </c>
      <c r="AI91" s="39" t="s">
        <v>144</v>
      </c>
      <c r="AJ91" s="39" t="s">
        <v>150</v>
      </c>
      <c r="AK91" s="39" t="s">
        <v>229</v>
      </c>
      <c r="AL91" s="47" t="s">
        <v>171</v>
      </c>
      <c r="AM91" s="309"/>
      <c r="AN91" s="309"/>
      <c r="AO91" s="62">
        <f t="shared" si="8"/>
        <v>40776</v>
      </c>
      <c r="AP91" s="62">
        <f t="shared" si="4"/>
        <v>40782</v>
      </c>
      <c r="AQ91" s="62">
        <v>34</v>
      </c>
      <c r="AR91" s="62" t="str">
        <f t="shared" si="5"/>
        <v>2011w34</v>
      </c>
      <c r="AS91" s="309"/>
      <c r="AT91" s="309"/>
      <c r="AU91" s="9"/>
    </row>
    <row r="92" spans="17:47" ht="12.75" customHeight="1">
      <c r="Q92" s="9"/>
      <c r="R92" s="9"/>
      <c r="S92" s="9"/>
      <c r="T92" s="9"/>
      <c r="U92" s="9"/>
      <c r="V92" s="9"/>
      <c r="W92" s="9"/>
      <c r="X92" s="32"/>
      <c r="Y92" s="9"/>
      <c r="Z92" s="9"/>
      <c r="AA92" s="9"/>
      <c r="AB92" s="9"/>
      <c r="AC92" s="9"/>
      <c r="AD92" s="9"/>
      <c r="AE92" s="38" t="str">
        <f t="shared" si="3"/>
        <v>EMEA Consumer Services Inbox</v>
      </c>
      <c r="AF92" s="40" t="s">
        <v>498</v>
      </c>
      <c r="AG92" s="50" t="s">
        <v>499</v>
      </c>
      <c r="AH92" s="40" t="s">
        <v>138</v>
      </c>
      <c r="AI92" s="40" t="s">
        <v>144</v>
      </c>
      <c r="AJ92" s="40" t="s">
        <v>240</v>
      </c>
      <c r="AK92" s="40" t="s">
        <v>229</v>
      </c>
      <c r="AL92" s="49" t="s">
        <v>171</v>
      </c>
      <c r="AM92" s="309"/>
      <c r="AN92" s="309"/>
      <c r="AO92" s="62">
        <f t="shared" si="8"/>
        <v>40783</v>
      </c>
      <c r="AP92" s="62">
        <f t="shared" si="4"/>
        <v>40789</v>
      </c>
      <c r="AQ92" s="62">
        <v>35</v>
      </c>
      <c r="AR92" s="62" t="str">
        <f t="shared" si="5"/>
        <v>2011w35</v>
      </c>
      <c r="AS92" s="309"/>
      <c r="AT92" s="309"/>
      <c r="AU92" s="9"/>
    </row>
    <row r="93" spans="17:47" ht="12.75" customHeight="1">
      <c r="Q93" s="9"/>
      <c r="R93" s="9"/>
      <c r="S93" s="9"/>
      <c r="T93" s="9"/>
      <c r="U93" s="9"/>
      <c r="V93" s="9"/>
      <c r="W93" s="9"/>
      <c r="X93" s="32"/>
      <c r="Y93" s="9"/>
      <c r="Z93" s="9"/>
      <c r="AA93" s="9"/>
      <c r="AB93" s="9"/>
      <c r="AC93" s="9"/>
      <c r="AD93" s="9"/>
      <c r="AE93" s="38" t="str">
        <f t="shared" si="3"/>
        <v>Agent Order Trace</v>
      </c>
      <c r="AF93" s="39" t="s">
        <v>500</v>
      </c>
      <c r="AG93" s="39" t="s">
        <v>501</v>
      </c>
      <c r="AH93" s="39" t="s">
        <v>138</v>
      </c>
      <c r="AI93" s="39" t="s">
        <v>144</v>
      </c>
      <c r="AJ93" s="39" t="s">
        <v>150</v>
      </c>
      <c r="AK93" s="39" t="s">
        <v>170</v>
      </c>
      <c r="AL93" s="47" t="s">
        <v>171</v>
      </c>
      <c r="AM93" s="309"/>
      <c r="AN93" s="309"/>
      <c r="AO93" s="62">
        <f t="shared" si="8"/>
        <v>40790</v>
      </c>
      <c r="AP93" s="62">
        <f t="shared" si="4"/>
        <v>40796</v>
      </c>
      <c r="AQ93" s="62">
        <v>36</v>
      </c>
      <c r="AR93" s="62" t="str">
        <f t="shared" si="5"/>
        <v>2011w36</v>
      </c>
      <c r="AS93" s="309"/>
      <c r="AT93" s="309"/>
      <c r="AU93" s="9"/>
    </row>
    <row r="94" spans="17:47" ht="12.75" customHeight="1">
      <c r="Q94" s="9"/>
      <c r="R94" s="9"/>
      <c r="S94" s="9"/>
      <c r="T94" s="9"/>
      <c r="U94" s="9"/>
      <c r="V94" s="9"/>
      <c r="W94" s="9"/>
      <c r="X94" s="32"/>
      <c r="Y94" s="9"/>
      <c r="Z94" s="9"/>
      <c r="AA94" s="9"/>
      <c r="AB94" s="9"/>
      <c r="AC94" s="9"/>
      <c r="AD94" s="9"/>
      <c r="AE94" s="38" t="str">
        <f t="shared" si="3"/>
        <v>EMEA Agent Services</v>
      </c>
      <c r="AF94" s="40" t="s">
        <v>502</v>
      </c>
      <c r="AG94" s="40" t="s">
        <v>503</v>
      </c>
      <c r="AH94" s="40" t="s">
        <v>137</v>
      </c>
      <c r="AI94" s="40" t="s">
        <v>144</v>
      </c>
      <c r="AJ94" s="40" t="s">
        <v>240</v>
      </c>
      <c r="AK94" s="40" t="s">
        <v>170</v>
      </c>
      <c r="AL94" s="49" t="s">
        <v>171</v>
      </c>
      <c r="AM94" s="309"/>
      <c r="AN94" s="309"/>
      <c r="AO94" s="62">
        <f t="shared" si="8"/>
        <v>40797</v>
      </c>
      <c r="AP94" s="62">
        <f t="shared" si="4"/>
        <v>40803</v>
      </c>
      <c r="AQ94" s="62">
        <v>37</v>
      </c>
      <c r="AR94" s="62" t="str">
        <f t="shared" si="5"/>
        <v>2011w37</v>
      </c>
      <c r="AS94" s="309"/>
      <c r="AT94" s="309"/>
      <c r="AU94" s="9"/>
    </row>
    <row r="95" spans="17:47" ht="12.75" customHeight="1">
      <c r="Q95" s="9"/>
      <c r="R95" s="9"/>
      <c r="S95" s="9"/>
      <c r="T95" s="9"/>
      <c r="U95" s="9"/>
      <c r="V95" s="9"/>
      <c r="W95" s="9"/>
      <c r="X95" s="32"/>
      <c r="Y95" s="9"/>
      <c r="Z95" s="9"/>
      <c r="AA95" s="9"/>
      <c r="AB95" s="9"/>
      <c r="AC95" s="9"/>
      <c r="AD95" s="9"/>
      <c r="AE95" s="38" t="str">
        <f t="shared" si="3"/>
        <v>EMEA Consumer Services</v>
      </c>
      <c r="AF95" s="39" t="s">
        <v>504</v>
      </c>
      <c r="AG95" s="39" t="s">
        <v>52</v>
      </c>
      <c r="AH95" s="39" t="s">
        <v>137</v>
      </c>
      <c r="AI95" s="39" t="s">
        <v>144</v>
      </c>
      <c r="AJ95" s="39" t="s">
        <v>240</v>
      </c>
      <c r="AK95" s="39" t="s">
        <v>229</v>
      </c>
      <c r="AL95" s="47" t="s">
        <v>171</v>
      </c>
      <c r="AM95" s="309"/>
      <c r="AN95" s="309"/>
      <c r="AO95" s="62">
        <f t="shared" si="8"/>
        <v>40804</v>
      </c>
      <c r="AP95" s="62">
        <f t="shared" si="4"/>
        <v>40810</v>
      </c>
      <c r="AQ95" s="62">
        <v>38</v>
      </c>
      <c r="AR95" s="62" t="str">
        <f t="shared" si="5"/>
        <v>2011w38</v>
      </c>
      <c r="AS95" s="309"/>
      <c r="AT95" s="309"/>
      <c r="AU95" s="9"/>
    </row>
    <row r="96" spans="17:47" ht="12.75" customHeight="1">
      <c r="Q96" s="9"/>
      <c r="R96" s="9"/>
      <c r="S96" s="9"/>
      <c r="T96" s="9"/>
      <c r="U96" s="9"/>
      <c r="V96" s="9"/>
      <c r="W96" s="9"/>
      <c r="X96" s="32"/>
      <c r="Y96" s="9"/>
      <c r="Z96" s="9"/>
      <c r="AA96" s="9"/>
      <c r="AB96" s="9"/>
      <c r="AC96" s="9"/>
      <c r="AD96" s="9"/>
      <c r="AE96" s="38" t="str">
        <f t="shared" si="3"/>
        <v>EMEA Loyalty</v>
      </c>
      <c r="AF96" s="40" t="s">
        <v>505</v>
      </c>
      <c r="AG96" s="40" t="s">
        <v>506</v>
      </c>
      <c r="AH96" s="40" t="s">
        <v>137</v>
      </c>
      <c r="AI96" s="40" t="s">
        <v>144</v>
      </c>
      <c r="AJ96" s="40" t="s">
        <v>240</v>
      </c>
      <c r="AK96" s="40" t="s">
        <v>229</v>
      </c>
      <c r="AL96" s="49" t="s">
        <v>171</v>
      </c>
      <c r="AM96" s="309"/>
      <c r="AN96" s="309"/>
      <c r="AO96" s="62">
        <f t="shared" si="8"/>
        <v>40811</v>
      </c>
      <c r="AP96" s="62">
        <f t="shared" si="4"/>
        <v>40817</v>
      </c>
      <c r="AQ96" s="62">
        <v>39</v>
      </c>
      <c r="AR96" s="62" t="str">
        <f t="shared" si="5"/>
        <v>2011w39</v>
      </c>
      <c r="AS96" s="309"/>
      <c r="AT96" s="309"/>
      <c r="AU96" s="9"/>
    </row>
    <row r="97" spans="17:47" ht="12.75" customHeight="1">
      <c r="Q97" s="9"/>
      <c r="R97" s="9"/>
      <c r="S97" s="9"/>
      <c r="T97" s="9"/>
      <c r="U97" s="9"/>
      <c r="V97" s="9"/>
      <c r="W97" s="9"/>
      <c r="X97" s="32"/>
      <c r="Y97" s="9"/>
      <c r="Z97" s="9"/>
      <c r="AA97" s="9"/>
      <c r="AB97" s="9"/>
      <c r="AC97" s="9"/>
      <c r="AD97" s="9"/>
      <c r="AE97" s="38" t="str">
        <f t="shared" si="3"/>
        <v>Payment Confirmation</v>
      </c>
      <c r="AF97" s="86">
        <v>94</v>
      </c>
      <c r="AG97" s="39" t="s">
        <v>507</v>
      </c>
      <c r="AH97" s="39" t="s">
        <v>138</v>
      </c>
      <c r="AI97" s="39" t="s">
        <v>144</v>
      </c>
      <c r="AJ97" s="39" t="s">
        <v>240</v>
      </c>
      <c r="AK97" s="39" t="s">
        <v>170</v>
      </c>
      <c r="AL97" s="47" t="s">
        <v>171</v>
      </c>
      <c r="AM97" s="309"/>
      <c r="AN97" s="309"/>
      <c r="AO97" s="62">
        <f t="shared" si="8"/>
        <v>40818</v>
      </c>
      <c r="AP97" s="62">
        <f t="shared" si="4"/>
        <v>40824</v>
      </c>
      <c r="AQ97" s="62">
        <v>40</v>
      </c>
      <c r="AR97" s="62" t="str">
        <f t="shared" si="5"/>
        <v>2011w40</v>
      </c>
      <c r="AS97" s="309"/>
      <c r="AT97" s="309"/>
      <c r="AU97" s="9"/>
    </row>
    <row r="98" spans="17:47" ht="12.75" customHeight="1">
      <c r="Q98" s="9"/>
      <c r="R98" s="9"/>
      <c r="S98" s="9"/>
      <c r="T98" s="9"/>
      <c r="U98" s="9"/>
      <c r="V98" s="9"/>
      <c r="W98" s="9"/>
      <c r="X98" s="32"/>
      <c r="Y98" s="9"/>
      <c r="Z98" s="9"/>
      <c r="AA98" s="9"/>
      <c r="AB98" s="9"/>
      <c r="AC98" s="9"/>
      <c r="AD98" s="9"/>
      <c r="AE98" s="38" t="str">
        <f t="shared" si="3"/>
        <v>APAC Loyalty Services Inbox</v>
      </c>
      <c r="AF98" s="87">
        <v>95</v>
      </c>
      <c r="AG98" s="40" t="s">
        <v>508</v>
      </c>
      <c r="AH98" s="40" t="s">
        <v>138</v>
      </c>
      <c r="AI98" s="40" t="s">
        <v>144</v>
      </c>
      <c r="AJ98" s="40" t="s">
        <v>189</v>
      </c>
      <c r="AK98" s="40" t="s">
        <v>229</v>
      </c>
      <c r="AL98" s="49" t="s">
        <v>171</v>
      </c>
      <c r="AM98" s="309"/>
      <c r="AN98" s="309"/>
      <c r="AO98" s="62">
        <f t="shared" si="8"/>
        <v>40825</v>
      </c>
      <c r="AP98" s="62">
        <f t="shared" si="4"/>
        <v>40831</v>
      </c>
      <c r="AQ98" s="62">
        <v>41</v>
      </c>
      <c r="AR98" s="62" t="str">
        <f t="shared" si="5"/>
        <v>2011w41</v>
      </c>
      <c r="AS98" s="309"/>
      <c r="AT98" s="309"/>
      <c r="AU98" s="9"/>
    </row>
    <row r="99" spans="17:47" ht="12.75" customHeight="1">
      <c r="Q99" s="9"/>
      <c r="R99" s="9"/>
      <c r="S99" s="9"/>
      <c r="T99" s="9"/>
      <c r="U99" s="9"/>
      <c r="V99" s="9"/>
      <c r="W99" s="9"/>
      <c r="X99" s="32"/>
      <c r="Y99" s="9"/>
      <c r="Z99" s="9"/>
      <c r="AA99" s="9"/>
      <c r="AB99" s="9"/>
      <c r="AC99" s="9"/>
      <c r="AD99" s="9"/>
      <c r="AE99" s="38" t="str">
        <f t="shared" si="3"/>
        <v xml:space="preserve">APAC WU.com Services Inbox </v>
      </c>
      <c r="AF99" s="88">
        <v>96</v>
      </c>
      <c r="AG99" s="39" t="s">
        <v>509</v>
      </c>
      <c r="AH99" s="39" t="s">
        <v>138</v>
      </c>
      <c r="AI99" s="39" t="s">
        <v>144</v>
      </c>
      <c r="AJ99" s="39" t="s">
        <v>189</v>
      </c>
      <c r="AK99" s="39" t="s">
        <v>229</v>
      </c>
      <c r="AL99" s="47" t="s">
        <v>171</v>
      </c>
      <c r="AM99" s="309"/>
      <c r="AN99" s="309"/>
      <c r="AO99" s="62">
        <f t="shared" si="8"/>
        <v>40832</v>
      </c>
      <c r="AP99" s="62">
        <f t="shared" si="4"/>
        <v>40838</v>
      </c>
      <c r="AQ99" s="62">
        <v>42</v>
      </c>
      <c r="AR99" s="62" t="str">
        <f t="shared" si="5"/>
        <v>2011w42</v>
      </c>
      <c r="AS99" s="309"/>
      <c r="AT99" s="309"/>
      <c r="AU99" s="9"/>
    </row>
    <row r="100" spans="17:47" ht="12.75" customHeight="1">
      <c r="Q100" s="9"/>
      <c r="R100" s="9"/>
      <c r="S100" s="9"/>
      <c r="T100" s="9"/>
      <c r="U100" s="9"/>
      <c r="V100" s="9"/>
      <c r="W100" s="9"/>
      <c r="X100" s="32"/>
      <c r="Y100" s="9"/>
      <c r="Z100" s="9"/>
      <c r="AA100" s="9"/>
      <c r="AB100" s="9"/>
      <c r="AC100" s="9"/>
      <c r="AD100" s="9"/>
      <c r="AE100" s="38" t="str">
        <f t="shared" si="3"/>
        <v>Online Foreign Currency Exchange</v>
      </c>
      <c r="AF100" s="89">
        <v>97</v>
      </c>
      <c r="AG100" s="92" t="s">
        <v>510</v>
      </c>
      <c r="AH100" s="92" t="s">
        <v>137</v>
      </c>
      <c r="AI100" s="92" t="s">
        <v>224</v>
      </c>
      <c r="AJ100" s="92" t="s">
        <v>205</v>
      </c>
      <c r="AK100" s="92" t="s">
        <v>229</v>
      </c>
      <c r="AL100" s="93" t="s">
        <v>171</v>
      </c>
      <c r="AM100" s="309"/>
      <c r="AN100" s="309"/>
      <c r="AO100" s="62">
        <f t="shared" si="8"/>
        <v>40839</v>
      </c>
      <c r="AP100" s="62">
        <f t="shared" si="4"/>
        <v>40845</v>
      </c>
      <c r="AQ100" s="62">
        <v>43</v>
      </c>
      <c r="AR100" s="62" t="str">
        <f t="shared" si="5"/>
        <v>2011w43</v>
      </c>
      <c r="AS100" s="309"/>
      <c r="AT100" s="309"/>
      <c r="AU100" s="9"/>
    </row>
    <row r="101" spans="17:47" ht="12.75" customHeight="1">
      <c r="Q101" s="9"/>
      <c r="R101" s="9"/>
      <c r="S101" s="9"/>
      <c r="T101" s="9"/>
      <c r="U101" s="9"/>
      <c r="V101" s="9"/>
      <c r="W101" s="9"/>
      <c r="X101" s="32"/>
      <c r="Y101" s="9"/>
      <c r="Z101" s="9"/>
      <c r="AA101" s="9"/>
      <c r="AB101" s="9"/>
      <c r="AC101" s="9"/>
      <c r="AD101" s="9"/>
      <c r="AE101" s="38" t="str">
        <f t="shared" si="3"/>
        <v>FSS Outbound</v>
      </c>
      <c r="AF101" s="90">
        <v>98</v>
      </c>
      <c r="AG101" s="40" t="s">
        <v>511</v>
      </c>
      <c r="AH101" s="40" t="s">
        <v>138</v>
      </c>
      <c r="AI101" s="40" t="s">
        <v>475</v>
      </c>
      <c r="AJ101" s="40" t="s">
        <v>150</v>
      </c>
      <c r="AK101" s="40" t="s">
        <v>170</v>
      </c>
      <c r="AL101" s="49" t="s">
        <v>171</v>
      </c>
      <c r="AM101" s="309"/>
      <c r="AN101" s="309"/>
      <c r="AO101" s="62">
        <f t="shared" si="8"/>
        <v>40846</v>
      </c>
      <c r="AP101" s="62">
        <f t="shared" si="4"/>
        <v>40852</v>
      </c>
      <c r="AQ101" s="62">
        <v>44</v>
      </c>
      <c r="AR101" s="62" t="str">
        <f t="shared" si="5"/>
        <v>2011w44</v>
      </c>
      <c r="AS101" s="309"/>
      <c r="AT101" s="309"/>
      <c r="AU101" s="9"/>
    </row>
    <row r="102" spans="17:47" ht="12.75" customHeight="1">
      <c r="Q102" s="9"/>
      <c r="R102" s="9"/>
      <c r="S102" s="9"/>
      <c r="T102" s="9"/>
      <c r="U102" s="9"/>
      <c r="V102" s="9"/>
      <c r="W102" s="9"/>
      <c r="X102" s="32"/>
      <c r="Y102" s="9"/>
      <c r="Z102" s="9"/>
      <c r="AA102" s="9"/>
      <c r="AB102" s="9"/>
      <c r="AC102" s="9"/>
      <c r="AD102" s="9"/>
      <c r="AE102" s="38" t="str">
        <f t="shared" si="3"/>
        <v>Go Cash</v>
      </c>
      <c r="AF102" s="9" t="s">
        <v>512</v>
      </c>
      <c r="AG102" s="92" t="s">
        <v>513</v>
      </c>
      <c r="AH102" s="92" t="s">
        <v>137</v>
      </c>
      <c r="AI102" s="92" t="s">
        <v>144</v>
      </c>
      <c r="AJ102" s="92" t="s">
        <v>150</v>
      </c>
      <c r="AK102" s="92" t="s">
        <v>229</v>
      </c>
      <c r="AL102" s="93" t="s">
        <v>171</v>
      </c>
      <c r="AM102" s="309"/>
      <c r="AN102" s="309">
        <v>40574</v>
      </c>
      <c r="AO102" s="62">
        <f t="shared" si="8"/>
        <v>40853</v>
      </c>
      <c r="AP102" s="62">
        <f t="shared" si="4"/>
        <v>40859</v>
      </c>
      <c r="AQ102" s="62">
        <v>45</v>
      </c>
      <c r="AR102" s="62" t="str">
        <f t="shared" si="5"/>
        <v>2011w45</v>
      </c>
      <c r="AS102" s="309"/>
      <c r="AT102" s="309"/>
      <c r="AU102" s="9"/>
    </row>
    <row r="103" spans="17:47" ht="12.75" customHeight="1">
      <c r="Q103" s="9"/>
      <c r="R103" s="9"/>
      <c r="S103" s="9"/>
      <c r="T103" s="9"/>
      <c r="U103" s="9"/>
      <c r="V103" s="9"/>
      <c r="W103" s="9"/>
      <c r="X103" s="32"/>
      <c r="Y103" s="9"/>
      <c r="Z103" s="9"/>
      <c r="AA103" s="9"/>
      <c r="AB103" s="9"/>
      <c r="AC103" s="9"/>
      <c r="AD103" s="9"/>
      <c r="AE103" s="38" t="str">
        <f t="shared" si="3"/>
        <v>Prepaid</v>
      </c>
      <c r="AF103" s="9" t="s">
        <v>514</v>
      </c>
      <c r="AG103" s="92" t="s">
        <v>515</v>
      </c>
      <c r="AH103" s="92" t="s">
        <v>137</v>
      </c>
      <c r="AI103" s="92" t="s">
        <v>144</v>
      </c>
      <c r="AJ103" s="92" t="s">
        <v>150</v>
      </c>
      <c r="AK103" s="92" t="s">
        <v>229</v>
      </c>
      <c r="AL103" s="93" t="s">
        <v>171</v>
      </c>
      <c r="AM103" s="309"/>
      <c r="AN103" s="309"/>
      <c r="AO103" s="62">
        <f t="shared" si="8"/>
        <v>40860</v>
      </c>
      <c r="AP103" s="62">
        <f t="shared" si="4"/>
        <v>40866</v>
      </c>
      <c r="AQ103" s="62">
        <v>46</v>
      </c>
      <c r="AR103" s="62" t="str">
        <f t="shared" si="5"/>
        <v>2011w46</v>
      </c>
      <c r="AS103" s="309"/>
      <c r="AT103" s="309"/>
      <c r="AU103" s="9"/>
    </row>
    <row r="104" spans="17:47" ht="12.75" customHeight="1">
      <c r="Q104" s="9"/>
      <c r="R104" s="9"/>
      <c r="S104" s="9"/>
      <c r="T104" s="9"/>
      <c r="U104" s="9"/>
      <c r="V104" s="9"/>
      <c r="W104" s="9"/>
      <c r="X104" s="32"/>
      <c r="Y104" s="9"/>
      <c r="Z104" s="9"/>
      <c r="AA104" s="9"/>
      <c r="AB104" s="9"/>
      <c r="AC104" s="9"/>
      <c r="AD104" s="9"/>
      <c r="AE104" s="38" t="str">
        <f t="shared" si="3"/>
        <v>Mobile MT</v>
      </c>
      <c r="AF104" s="9" t="s">
        <v>516</v>
      </c>
      <c r="AG104" s="92" t="s">
        <v>517</v>
      </c>
      <c r="AH104" s="92" t="s">
        <v>137</v>
      </c>
      <c r="AI104" s="92" t="s">
        <v>144</v>
      </c>
      <c r="AJ104" s="92" t="s">
        <v>150</v>
      </c>
      <c r="AK104" s="92" t="s">
        <v>229</v>
      </c>
      <c r="AL104" s="93" t="s">
        <v>171</v>
      </c>
      <c r="AM104" s="309"/>
      <c r="AN104" s="309"/>
      <c r="AO104" s="62">
        <f t="shared" si="8"/>
        <v>40867</v>
      </c>
      <c r="AP104" s="62">
        <f t="shared" si="4"/>
        <v>40873</v>
      </c>
      <c r="AQ104" s="62">
        <v>47</v>
      </c>
      <c r="AR104" s="62" t="str">
        <f t="shared" si="5"/>
        <v>2011w47</v>
      </c>
      <c r="AS104" s="309"/>
      <c r="AT104" s="309"/>
      <c r="AU104" s="9"/>
    </row>
    <row r="105" spans="17:47" ht="12.75" customHeight="1">
      <c r="Q105" s="9"/>
      <c r="R105" s="9"/>
      <c r="S105" s="9"/>
      <c r="T105" s="9"/>
      <c r="U105" s="9"/>
      <c r="V105" s="9"/>
      <c r="W105" s="9"/>
      <c r="X105" s="32"/>
      <c r="Y105" s="9"/>
      <c r="Z105" s="9"/>
      <c r="AA105" s="9"/>
      <c r="AB105" s="9"/>
      <c r="AC105" s="9"/>
      <c r="AD105" s="9"/>
      <c r="AE105" s="9"/>
      <c r="AF105" s="9"/>
      <c r="AG105" s="9"/>
      <c r="AH105" s="32"/>
      <c r="AI105" s="9"/>
      <c r="AJ105" s="9"/>
      <c r="AK105" s="9"/>
      <c r="AL105" s="9"/>
      <c r="AM105" s="309"/>
      <c r="AN105" s="309"/>
      <c r="AO105" s="62">
        <f t="shared" si="8"/>
        <v>40874</v>
      </c>
      <c r="AP105" s="62">
        <f t="shared" si="4"/>
        <v>40880</v>
      </c>
      <c r="AQ105" s="62">
        <v>48</v>
      </c>
      <c r="AR105" s="62" t="str">
        <f t="shared" si="5"/>
        <v>2011w48</v>
      </c>
      <c r="AS105" s="309"/>
      <c r="AT105" s="309"/>
      <c r="AU105" s="9"/>
    </row>
    <row r="106" spans="17:47" ht="12.75" customHeight="1">
      <c r="Q106" s="9"/>
      <c r="R106" s="9"/>
      <c r="S106" s="9"/>
      <c r="T106" s="9"/>
      <c r="U106" s="9"/>
      <c r="V106" s="9"/>
      <c r="W106" s="9"/>
      <c r="X106" s="32"/>
      <c r="Y106" s="9"/>
      <c r="Z106" s="9"/>
      <c r="AA106" s="9"/>
      <c r="AB106" s="9"/>
      <c r="AC106" s="9"/>
      <c r="AD106" s="9"/>
      <c r="AE106" s="9"/>
      <c r="AF106" s="9"/>
      <c r="AG106" s="9"/>
      <c r="AH106" s="32"/>
      <c r="AI106" s="9"/>
      <c r="AJ106" s="9"/>
      <c r="AK106" s="9"/>
      <c r="AL106" s="9"/>
      <c r="AM106" s="309"/>
      <c r="AN106" s="309"/>
      <c r="AO106" s="62">
        <f t="shared" si="8"/>
        <v>40881</v>
      </c>
      <c r="AP106" s="62">
        <f t="shared" si="4"/>
        <v>40887</v>
      </c>
      <c r="AQ106" s="62">
        <v>49</v>
      </c>
      <c r="AR106" s="62" t="str">
        <f t="shared" si="5"/>
        <v>2011w49</v>
      </c>
      <c r="AS106" s="309"/>
      <c r="AT106" s="309"/>
      <c r="AU106" s="9"/>
    </row>
    <row r="107" spans="17:47" ht="12.75" customHeight="1">
      <c r="Q107" s="9"/>
      <c r="R107" s="9"/>
      <c r="S107" s="9"/>
      <c r="T107" s="9"/>
      <c r="U107" s="9"/>
      <c r="V107" s="9"/>
      <c r="W107" s="9"/>
      <c r="X107" s="32"/>
      <c r="Y107" s="9"/>
      <c r="Z107" s="9"/>
      <c r="AA107" s="9"/>
      <c r="AB107" s="9"/>
      <c r="AC107" s="9"/>
      <c r="AD107" s="9"/>
      <c r="AE107" s="9"/>
      <c r="AF107" s="9"/>
      <c r="AG107" s="9"/>
      <c r="AH107" s="32"/>
      <c r="AI107" s="9"/>
      <c r="AJ107" s="9"/>
      <c r="AK107" s="9"/>
      <c r="AL107" s="9"/>
      <c r="AM107" s="309"/>
      <c r="AN107" s="309"/>
      <c r="AO107" s="62">
        <f t="shared" si="8"/>
        <v>40888</v>
      </c>
      <c r="AP107" s="62">
        <f t="shared" si="4"/>
        <v>40894</v>
      </c>
      <c r="AQ107" s="62">
        <v>50</v>
      </c>
      <c r="AR107" s="62" t="str">
        <f t="shared" si="5"/>
        <v>2011w50</v>
      </c>
      <c r="AS107" s="309"/>
      <c r="AT107" s="309"/>
      <c r="AU107" s="9"/>
    </row>
    <row r="108" spans="17:47" ht="12.75" customHeight="1">
      <c r="Q108" s="9"/>
      <c r="R108" s="9"/>
      <c r="S108" s="9"/>
      <c r="T108" s="9"/>
      <c r="U108" s="9"/>
      <c r="V108" s="9"/>
      <c r="W108" s="9"/>
      <c r="X108" s="32"/>
      <c r="Y108" s="9"/>
      <c r="Z108" s="9"/>
      <c r="AA108" s="9"/>
      <c r="AB108" s="9"/>
      <c r="AC108" s="9"/>
      <c r="AD108" s="9"/>
      <c r="AE108" s="9"/>
      <c r="AF108" s="9"/>
      <c r="AG108" s="9"/>
      <c r="AH108" s="32"/>
      <c r="AI108" s="9"/>
      <c r="AJ108" s="9"/>
      <c r="AK108" s="9"/>
      <c r="AL108" s="9"/>
      <c r="AM108" s="309"/>
      <c r="AN108" s="309"/>
      <c r="AO108" s="62">
        <f t="shared" si="8"/>
        <v>40895</v>
      </c>
      <c r="AP108" s="62">
        <f t="shared" si="4"/>
        <v>40901</v>
      </c>
      <c r="AQ108" s="62">
        <v>51</v>
      </c>
      <c r="AR108" s="62" t="str">
        <f t="shared" si="5"/>
        <v>2011w51</v>
      </c>
      <c r="AS108" s="309"/>
      <c r="AT108" s="309"/>
      <c r="AU108" s="9"/>
    </row>
    <row r="109" spans="17:47" ht="12.75" customHeight="1">
      <c r="Q109" s="9"/>
      <c r="R109" s="9"/>
      <c r="S109" s="9"/>
      <c r="T109" s="9"/>
      <c r="U109" s="9"/>
      <c r="V109" s="9"/>
      <c r="W109" s="9"/>
      <c r="X109" s="32"/>
      <c r="Y109" s="9"/>
      <c r="Z109" s="9"/>
      <c r="AA109" s="9"/>
      <c r="AB109" s="9"/>
      <c r="AC109" s="9"/>
      <c r="AD109" s="9"/>
      <c r="AE109" s="9"/>
      <c r="AF109" s="9"/>
      <c r="AG109" s="9"/>
      <c r="AH109" s="32"/>
      <c r="AI109" s="9"/>
      <c r="AJ109" s="9"/>
      <c r="AK109" s="9"/>
      <c r="AL109" s="9"/>
      <c r="AM109" s="309"/>
      <c r="AN109" s="309"/>
      <c r="AO109" s="62">
        <f t="shared" si="8"/>
        <v>40902</v>
      </c>
      <c r="AP109" s="62">
        <f t="shared" si="4"/>
        <v>40908</v>
      </c>
      <c r="AQ109" s="62">
        <v>52</v>
      </c>
      <c r="AR109" s="62" t="str">
        <f t="shared" si="5"/>
        <v>2011w52</v>
      </c>
      <c r="AS109" s="309"/>
      <c r="AT109" s="309"/>
      <c r="AU109" s="9"/>
    </row>
    <row r="110" spans="17:47" ht="12.75" customHeight="1">
      <c r="Q110" s="9"/>
      <c r="R110" s="9"/>
      <c r="S110" s="9"/>
      <c r="T110" s="9"/>
      <c r="U110" s="9"/>
      <c r="V110" s="9"/>
      <c r="W110" s="9"/>
      <c r="X110" s="32"/>
      <c r="Y110" s="9"/>
      <c r="Z110" s="9"/>
      <c r="AA110" s="9"/>
      <c r="AB110" s="9"/>
      <c r="AC110" s="9"/>
      <c r="AD110" s="9"/>
      <c r="AE110" s="9"/>
      <c r="AF110" s="9"/>
      <c r="AG110" s="9"/>
      <c r="AH110" s="32"/>
      <c r="AI110" s="9"/>
      <c r="AJ110" s="9"/>
      <c r="AK110" s="9"/>
      <c r="AL110" s="9"/>
      <c r="AM110" s="309"/>
      <c r="AN110" s="309"/>
      <c r="AO110" s="94">
        <f t="shared" si="8"/>
        <v>40909</v>
      </c>
      <c r="AP110" s="94">
        <f t="shared" si="4"/>
        <v>40915</v>
      </c>
      <c r="AQ110" s="94">
        <v>1</v>
      </c>
      <c r="AR110" s="94" t="str">
        <f t="shared" si="5"/>
        <v>2012w01</v>
      </c>
      <c r="AS110" s="309"/>
      <c r="AT110" s="309"/>
      <c r="AU110" s="9"/>
    </row>
    <row r="111" spans="17:47" ht="12.75" customHeight="1">
      <c r="Q111" s="9"/>
      <c r="R111" s="9"/>
      <c r="S111" s="9"/>
      <c r="T111" s="9"/>
      <c r="U111" s="9"/>
      <c r="V111" s="9"/>
      <c r="W111" s="9"/>
      <c r="X111" s="32"/>
      <c r="Y111" s="9"/>
      <c r="Z111" s="9"/>
      <c r="AA111" s="9"/>
      <c r="AB111" s="9"/>
      <c r="AC111" s="9"/>
      <c r="AD111" s="9"/>
      <c r="AE111" s="9"/>
      <c r="AF111" s="9"/>
      <c r="AG111" s="9"/>
      <c r="AH111" s="32"/>
      <c r="AI111" s="9"/>
      <c r="AJ111" s="9"/>
      <c r="AK111" s="9"/>
      <c r="AL111" s="9"/>
      <c r="AM111" s="309"/>
      <c r="AN111" s="309"/>
      <c r="AO111" s="94">
        <f t="shared" si="8"/>
        <v>40916</v>
      </c>
      <c r="AP111" s="94">
        <f t="shared" si="4"/>
        <v>40922</v>
      </c>
      <c r="AQ111" s="94">
        <v>2</v>
      </c>
      <c r="AR111" s="94" t="str">
        <f t="shared" si="5"/>
        <v>2012w02</v>
      </c>
      <c r="AS111" s="309"/>
      <c r="AT111" s="309"/>
      <c r="AU111" s="9"/>
    </row>
    <row r="112" spans="17:47" ht="12.75" customHeight="1">
      <c r="Q112" s="9"/>
      <c r="R112" s="9"/>
      <c r="S112" s="9"/>
      <c r="T112" s="9"/>
      <c r="U112" s="9"/>
      <c r="V112" s="9"/>
      <c r="W112" s="9"/>
      <c r="X112" s="32"/>
      <c r="Y112" s="9"/>
      <c r="Z112" s="9"/>
      <c r="AA112" s="9"/>
      <c r="AB112" s="9"/>
      <c r="AC112" s="9"/>
      <c r="AD112" s="9"/>
      <c r="AE112" s="9"/>
      <c r="AF112" s="9"/>
      <c r="AG112" s="9"/>
      <c r="AH112" s="32"/>
      <c r="AI112" s="9"/>
      <c r="AJ112" s="9"/>
      <c r="AK112" s="9"/>
      <c r="AL112" s="9"/>
      <c r="AM112" s="309"/>
      <c r="AN112" s="309"/>
      <c r="AO112" s="94">
        <f t="shared" si="8"/>
        <v>40923</v>
      </c>
      <c r="AP112" s="94">
        <f t="shared" si="4"/>
        <v>40929</v>
      </c>
      <c r="AQ112" s="94">
        <v>3</v>
      </c>
      <c r="AR112" s="94" t="str">
        <f t="shared" si="5"/>
        <v>2012w03</v>
      </c>
      <c r="AS112" s="309"/>
      <c r="AT112" s="309"/>
      <c r="AU112" s="9"/>
    </row>
    <row r="113" spans="17:47" ht="12.75" customHeight="1">
      <c r="Q113" s="9"/>
      <c r="R113" s="9"/>
      <c r="S113" s="9"/>
      <c r="T113" s="9"/>
      <c r="U113" s="9"/>
      <c r="V113" s="9"/>
      <c r="W113" s="9"/>
      <c r="X113" s="32"/>
      <c r="Y113" s="9"/>
      <c r="Z113" s="9"/>
      <c r="AA113" s="9"/>
      <c r="AB113" s="9"/>
      <c r="AC113" s="9"/>
      <c r="AD113" s="9"/>
      <c r="AE113" s="9"/>
      <c r="AF113" s="9"/>
      <c r="AG113" s="9"/>
      <c r="AH113" s="32"/>
      <c r="AI113" s="9"/>
      <c r="AJ113" s="9"/>
      <c r="AK113" s="9"/>
      <c r="AL113" s="9"/>
      <c r="AM113" s="309"/>
      <c r="AN113" s="309"/>
      <c r="AO113" s="94">
        <f t="shared" si="8"/>
        <v>40930</v>
      </c>
      <c r="AP113" s="94">
        <f t="shared" si="4"/>
        <v>40936</v>
      </c>
      <c r="AQ113" s="94">
        <v>4</v>
      </c>
      <c r="AR113" s="94" t="str">
        <f t="shared" si="5"/>
        <v>2012w04</v>
      </c>
      <c r="AS113" s="309"/>
      <c r="AT113" s="309"/>
      <c r="AU113" s="9"/>
    </row>
    <row r="114" spans="17:47" ht="12.75" customHeight="1">
      <c r="Q114" s="9"/>
      <c r="R114" s="9"/>
      <c r="S114" s="9"/>
      <c r="T114" s="9"/>
      <c r="U114" s="9"/>
      <c r="V114" s="9"/>
      <c r="W114" s="9"/>
      <c r="X114" s="32"/>
      <c r="Y114" s="9"/>
      <c r="Z114" s="9"/>
      <c r="AA114" s="9"/>
      <c r="AB114" s="9"/>
      <c r="AC114" s="9"/>
      <c r="AD114" s="9"/>
      <c r="AE114" s="9"/>
      <c r="AF114" s="9"/>
      <c r="AG114" s="9"/>
      <c r="AH114" s="32"/>
      <c r="AI114" s="9"/>
      <c r="AJ114" s="9"/>
      <c r="AK114" s="9"/>
      <c r="AL114" s="9"/>
      <c r="AM114" s="309"/>
      <c r="AN114" s="309"/>
      <c r="AO114" s="94">
        <f t="shared" si="8"/>
        <v>40937</v>
      </c>
      <c r="AP114" s="94">
        <f t="shared" si="4"/>
        <v>40943</v>
      </c>
      <c r="AQ114" s="94">
        <v>5</v>
      </c>
      <c r="AR114" s="94" t="str">
        <f t="shared" si="5"/>
        <v>2012w05</v>
      </c>
      <c r="AS114" s="309"/>
      <c r="AT114" s="309"/>
      <c r="AU114" s="9"/>
    </row>
    <row r="115" spans="17:47" ht="12.75" customHeight="1">
      <c r="Q115" s="9"/>
      <c r="R115" s="9"/>
      <c r="S115" s="9"/>
      <c r="T115" s="9"/>
      <c r="U115" s="9"/>
      <c r="V115" s="9"/>
      <c r="W115" s="9"/>
      <c r="X115" s="32"/>
      <c r="Y115" s="9"/>
      <c r="Z115" s="9"/>
      <c r="AA115" s="9"/>
      <c r="AB115" s="9"/>
      <c r="AC115" s="9"/>
      <c r="AD115" s="9"/>
      <c r="AE115" s="9"/>
      <c r="AF115" s="9"/>
      <c r="AG115" s="9"/>
      <c r="AH115" s="32"/>
      <c r="AI115" s="9"/>
      <c r="AJ115" s="9"/>
      <c r="AK115" s="9"/>
      <c r="AL115" s="9"/>
      <c r="AM115" s="309"/>
      <c r="AN115" s="309"/>
      <c r="AO115" s="94">
        <f t="shared" si="8"/>
        <v>40944</v>
      </c>
      <c r="AP115" s="94">
        <f t="shared" si="4"/>
        <v>40950</v>
      </c>
      <c r="AQ115" s="94">
        <v>6</v>
      </c>
      <c r="AR115" s="94" t="str">
        <f t="shared" si="5"/>
        <v>2012w06</v>
      </c>
      <c r="AS115" s="309"/>
      <c r="AT115" s="309"/>
      <c r="AU115" s="9"/>
    </row>
    <row r="116" spans="17:47" ht="12.75" customHeight="1">
      <c r="Q116" s="9"/>
      <c r="R116" s="9"/>
      <c r="S116" s="9"/>
      <c r="T116" s="9"/>
      <c r="U116" s="9"/>
      <c r="V116" s="9"/>
      <c r="W116" s="9"/>
      <c r="X116" s="32"/>
      <c r="Y116" s="9"/>
      <c r="Z116" s="9"/>
      <c r="AA116" s="9"/>
      <c r="AB116" s="9"/>
      <c r="AC116" s="9"/>
      <c r="AD116" s="9"/>
      <c r="AE116" s="9"/>
      <c r="AF116" s="9"/>
      <c r="AG116" s="9"/>
      <c r="AH116" s="32"/>
      <c r="AI116" s="9"/>
      <c r="AJ116" s="9"/>
      <c r="AK116" s="9"/>
      <c r="AL116" s="9"/>
      <c r="AM116" s="309"/>
      <c r="AN116" s="309"/>
      <c r="AO116" s="94">
        <f t="shared" si="8"/>
        <v>40951</v>
      </c>
      <c r="AP116" s="94">
        <f t="shared" si="4"/>
        <v>40957</v>
      </c>
      <c r="AQ116" s="94">
        <v>7</v>
      </c>
      <c r="AR116" s="94" t="str">
        <f t="shared" si="5"/>
        <v>2012w07</v>
      </c>
      <c r="AS116" s="309"/>
      <c r="AT116" s="309"/>
      <c r="AU116" s="9"/>
    </row>
    <row r="117" spans="17:47" ht="12.75" customHeight="1">
      <c r="Q117" s="9"/>
      <c r="R117" s="9"/>
      <c r="S117" s="9"/>
      <c r="T117" s="9"/>
      <c r="U117" s="9"/>
      <c r="V117" s="9"/>
      <c r="W117" s="9"/>
      <c r="X117" s="32"/>
      <c r="Y117" s="9"/>
      <c r="Z117" s="9"/>
      <c r="AA117" s="9"/>
      <c r="AB117" s="9"/>
      <c r="AC117" s="9"/>
      <c r="AD117" s="9"/>
      <c r="AE117" s="9"/>
      <c r="AF117" s="9"/>
      <c r="AG117" s="9"/>
      <c r="AH117" s="32"/>
      <c r="AI117" s="9"/>
      <c r="AJ117" s="9"/>
      <c r="AK117" s="9"/>
      <c r="AL117" s="9"/>
      <c r="AM117" s="309"/>
      <c r="AN117" s="309"/>
      <c r="AO117" s="94">
        <f t="shared" si="8"/>
        <v>40958</v>
      </c>
      <c r="AP117" s="94">
        <f t="shared" si="4"/>
        <v>40964</v>
      </c>
      <c r="AQ117" s="94">
        <v>8</v>
      </c>
      <c r="AR117" s="94" t="str">
        <f t="shared" si="5"/>
        <v>2012w08</v>
      </c>
      <c r="AS117" s="309"/>
      <c r="AT117" s="309"/>
      <c r="AU117" s="9"/>
    </row>
    <row r="118" spans="17:47" ht="12.75" customHeight="1">
      <c r="Q118" s="9"/>
      <c r="R118" s="9"/>
      <c r="S118" s="9"/>
      <c r="T118" s="9"/>
      <c r="U118" s="9"/>
      <c r="V118" s="9"/>
      <c r="W118" s="9"/>
      <c r="X118" s="32"/>
      <c r="Y118" s="9"/>
      <c r="Z118" s="9"/>
      <c r="AA118" s="9"/>
      <c r="AB118" s="9"/>
      <c r="AC118" s="9"/>
      <c r="AD118" s="9"/>
      <c r="AE118" s="9"/>
      <c r="AF118" s="9"/>
      <c r="AG118" s="9"/>
      <c r="AH118" s="32"/>
      <c r="AI118" s="9"/>
      <c r="AJ118" s="9"/>
      <c r="AK118" s="9"/>
      <c r="AL118" s="9"/>
      <c r="AM118" s="309"/>
      <c r="AN118" s="309"/>
      <c r="AO118" s="94">
        <f t="shared" si="8"/>
        <v>40965</v>
      </c>
      <c r="AP118" s="94">
        <f t="shared" si="4"/>
        <v>40971</v>
      </c>
      <c r="AQ118" s="94">
        <v>9</v>
      </c>
      <c r="AR118" s="94" t="str">
        <f t="shared" si="5"/>
        <v>2012w09</v>
      </c>
      <c r="AS118" s="309"/>
      <c r="AT118" s="309"/>
      <c r="AU118" s="9"/>
    </row>
    <row r="119" spans="17:47" ht="12.75" customHeight="1">
      <c r="Q119" s="9"/>
      <c r="R119" s="9"/>
      <c r="S119" s="9"/>
      <c r="T119" s="9"/>
      <c r="U119" s="9"/>
      <c r="V119" s="9"/>
      <c r="W119" s="9"/>
      <c r="X119" s="32"/>
      <c r="Y119" s="9"/>
      <c r="Z119" s="9"/>
      <c r="AA119" s="9"/>
      <c r="AB119" s="9"/>
      <c r="AC119" s="9"/>
      <c r="AD119" s="9"/>
      <c r="AE119" s="9"/>
      <c r="AF119" s="9"/>
      <c r="AG119" s="9"/>
      <c r="AH119" s="32"/>
      <c r="AI119" s="9"/>
      <c r="AJ119" s="9"/>
      <c r="AK119" s="9"/>
      <c r="AL119" s="9"/>
      <c r="AM119" s="309"/>
      <c r="AN119" s="309"/>
      <c r="AO119" s="94">
        <f t="shared" si="8"/>
        <v>40972</v>
      </c>
      <c r="AP119" s="94">
        <f t="shared" si="4"/>
        <v>40978</v>
      </c>
      <c r="AQ119" s="94">
        <v>10</v>
      </c>
      <c r="AR119" s="94" t="str">
        <f t="shared" si="5"/>
        <v>2012w10</v>
      </c>
      <c r="AS119" s="309"/>
      <c r="AT119" s="309"/>
      <c r="AU119" s="9"/>
    </row>
    <row r="120" spans="17:47" ht="12.75" customHeight="1">
      <c r="Q120" s="9"/>
      <c r="R120" s="9"/>
      <c r="S120" s="9"/>
      <c r="T120" s="9"/>
      <c r="U120" s="9"/>
      <c r="V120" s="9"/>
      <c r="W120" s="9"/>
      <c r="X120" s="32"/>
      <c r="Y120" s="9"/>
      <c r="Z120" s="9"/>
      <c r="AA120" s="9"/>
      <c r="AB120" s="9"/>
      <c r="AC120" s="9"/>
      <c r="AD120" s="9"/>
      <c r="AE120" s="9"/>
      <c r="AF120" s="9"/>
      <c r="AG120" s="9"/>
      <c r="AH120" s="32"/>
      <c r="AI120" s="9"/>
      <c r="AJ120" s="9"/>
      <c r="AK120" s="9"/>
      <c r="AL120" s="9"/>
      <c r="AM120" s="309"/>
      <c r="AN120" s="309"/>
      <c r="AO120" s="94">
        <f t="shared" si="8"/>
        <v>40979</v>
      </c>
      <c r="AP120" s="94">
        <f t="shared" si="4"/>
        <v>40985</v>
      </c>
      <c r="AQ120" s="94">
        <v>11</v>
      </c>
      <c r="AR120" s="94" t="str">
        <f t="shared" si="5"/>
        <v>2012w11</v>
      </c>
      <c r="AS120" s="309"/>
      <c r="AT120" s="309"/>
      <c r="AU120" s="9"/>
    </row>
    <row r="121" spans="17:47" ht="12.75" customHeight="1">
      <c r="Q121" s="9"/>
      <c r="R121" s="9"/>
      <c r="S121" s="9"/>
      <c r="T121" s="9"/>
      <c r="U121" s="9"/>
      <c r="V121" s="9"/>
      <c r="W121" s="9"/>
      <c r="X121" s="32"/>
      <c r="Y121" s="9"/>
      <c r="Z121" s="9"/>
      <c r="AA121" s="9"/>
      <c r="AB121" s="9"/>
      <c r="AC121" s="9"/>
      <c r="AD121" s="9"/>
      <c r="AE121" s="9"/>
      <c r="AF121" s="9"/>
      <c r="AG121" s="9"/>
      <c r="AH121" s="32"/>
      <c r="AI121" s="9"/>
      <c r="AJ121" s="9"/>
      <c r="AK121" s="9"/>
      <c r="AL121" s="9"/>
      <c r="AM121" s="309"/>
      <c r="AN121" s="309"/>
      <c r="AO121" s="94">
        <f t="shared" si="8"/>
        <v>40986</v>
      </c>
      <c r="AP121" s="94">
        <f t="shared" si="4"/>
        <v>40992</v>
      </c>
      <c r="AQ121" s="94">
        <v>12</v>
      </c>
      <c r="AR121" s="94" t="str">
        <f t="shared" si="5"/>
        <v>2012w12</v>
      </c>
      <c r="AS121" s="309"/>
      <c r="AT121" s="309"/>
      <c r="AU121" s="9"/>
    </row>
    <row r="122" spans="17:47" ht="12.75" customHeight="1">
      <c r="Q122" s="9"/>
      <c r="R122" s="9"/>
      <c r="S122" s="9"/>
      <c r="T122" s="9"/>
      <c r="U122" s="9"/>
      <c r="V122" s="9"/>
      <c r="W122" s="9"/>
      <c r="X122" s="32"/>
      <c r="Y122" s="9"/>
      <c r="Z122" s="9"/>
      <c r="AA122" s="9"/>
      <c r="AB122" s="9"/>
      <c r="AC122" s="9"/>
      <c r="AD122" s="9"/>
      <c r="AE122" s="9"/>
      <c r="AF122" s="9"/>
      <c r="AG122" s="9"/>
      <c r="AH122" s="32"/>
      <c r="AI122" s="9"/>
      <c r="AJ122" s="9"/>
      <c r="AK122" s="9"/>
      <c r="AL122" s="9"/>
      <c r="AM122" s="309"/>
      <c r="AN122" s="309"/>
      <c r="AO122" s="94">
        <f t="shared" si="8"/>
        <v>40993</v>
      </c>
      <c r="AP122" s="94">
        <f t="shared" si="4"/>
        <v>40999</v>
      </c>
      <c r="AQ122" s="94">
        <v>13</v>
      </c>
      <c r="AR122" s="94" t="str">
        <f t="shared" si="5"/>
        <v>2012w13</v>
      </c>
      <c r="AS122" s="309"/>
      <c r="AT122" s="309"/>
      <c r="AU122" s="9"/>
    </row>
    <row r="123" spans="17:47" ht="12.75" customHeight="1">
      <c r="Q123" s="9"/>
      <c r="R123" s="9"/>
      <c r="S123" s="9"/>
      <c r="T123" s="9"/>
      <c r="U123" s="9"/>
      <c r="V123" s="9"/>
      <c r="W123" s="9"/>
      <c r="X123" s="32"/>
      <c r="Y123" s="9"/>
      <c r="Z123" s="9"/>
      <c r="AA123" s="9"/>
      <c r="AB123" s="9"/>
      <c r="AC123" s="9"/>
      <c r="AD123" s="9"/>
      <c r="AE123" s="9"/>
      <c r="AF123" s="9"/>
      <c r="AG123" s="9"/>
      <c r="AH123" s="32"/>
      <c r="AI123" s="9"/>
      <c r="AJ123" s="9"/>
      <c r="AK123" s="9"/>
      <c r="AL123" s="9"/>
      <c r="AM123" s="309"/>
      <c r="AN123" s="309"/>
      <c r="AO123" s="94">
        <f t="shared" si="8"/>
        <v>41000</v>
      </c>
      <c r="AP123" s="94">
        <f t="shared" si="4"/>
        <v>41006</v>
      </c>
      <c r="AQ123" s="94">
        <v>14</v>
      </c>
      <c r="AR123" s="94" t="str">
        <f t="shared" si="5"/>
        <v>2012w14</v>
      </c>
      <c r="AS123" s="309"/>
      <c r="AT123" s="309"/>
      <c r="AU123" s="9"/>
    </row>
    <row r="124" spans="17:47" ht="12.75" customHeight="1">
      <c r="Q124" s="9"/>
      <c r="R124" s="9"/>
      <c r="S124" s="9"/>
      <c r="T124" s="9"/>
      <c r="U124" s="9"/>
      <c r="V124" s="9"/>
      <c r="W124" s="9"/>
      <c r="X124" s="32"/>
      <c r="Y124" s="9"/>
      <c r="Z124" s="9"/>
      <c r="AA124" s="9"/>
      <c r="AB124" s="9"/>
      <c r="AC124" s="9"/>
      <c r="AD124" s="9"/>
      <c r="AE124" s="9"/>
      <c r="AF124" s="9"/>
      <c r="AG124" s="9"/>
      <c r="AH124" s="32"/>
      <c r="AI124" s="9"/>
      <c r="AJ124" s="9"/>
      <c r="AK124" s="9"/>
      <c r="AL124" s="9"/>
      <c r="AM124" s="309"/>
      <c r="AN124" s="309"/>
      <c r="AO124" s="94">
        <f t="shared" si="8"/>
        <v>41007</v>
      </c>
      <c r="AP124" s="94">
        <f t="shared" si="4"/>
        <v>41013</v>
      </c>
      <c r="AQ124" s="94">
        <v>15</v>
      </c>
      <c r="AR124" s="94" t="str">
        <f t="shared" si="5"/>
        <v>2012w15</v>
      </c>
      <c r="AS124" s="309"/>
      <c r="AT124" s="309"/>
      <c r="AU124" s="9"/>
    </row>
    <row r="125" spans="17:47" ht="12.75" customHeight="1">
      <c r="Q125" s="9"/>
      <c r="R125" s="9"/>
      <c r="S125" s="9"/>
      <c r="T125" s="9"/>
      <c r="U125" s="9"/>
      <c r="V125" s="9"/>
      <c r="W125" s="9"/>
      <c r="X125" s="32"/>
      <c r="Y125" s="9"/>
      <c r="Z125" s="9"/>
      <c r="AA125" s="9"/>
      <c r="AB125" s="9"/>
      <c r="AC125" s="9"/>
      <c r="AD125" s="9"/>
      <c r="AE125" s="9"/>
      <c r="AF125" s="9"/>
      <c r="AG125" s="9"/>
      <c r="AH125" s="32"/>
      <c r="AI125" s="9"/>
      <c r="AJ125" s="9"/>
      <c r="AK125" s="9"/>
      <c r="AL125" s="9"/>
      <c r="AM125" s="309"/>
      <c r="AN125" s="309"/>
      <c r="AO125" s="94">
        <f t="shared" si="8"/>
        <v>41014</v>
      </c>
      <c r="AP125" s="94">
        <f t="shared" si="4"/>
        <v>41020</v>
      </c>
      <c r="AQ125" s="94">
        <v>16</v>
      </c>
      <c r="AR125" s="94" t="str">
        <f t="shared" si="5"/>
        <v>2012w16</v>
      </c>
      <c r="AS125" s="309"/>
      <c r="AT125" s="309"/>
      <c r="AU125" s="9"/>
    </row>
    <row r="126" spans="17:47" ht="12.75" customHeight="1"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32"/>
      <c r="AI126" s="9"/>
      <c r="AJ126" s="9"/>
      <c r="AK126" s="9"/>
      <c r="AL126" s="9"/>
      <c r="AM126" s="309"/>
      <c r="AN126" s="309"/>
      <c r="AO126" s="94">
        <f t="shared" si="8"/>
        <v>41021</v>
      </c>
      <c r="AP126" s="94">
        <f t="shared" si="4"/>
        <v>41027</v>
      </c>
      <c r="AQ126" s="94">
        <v>17</v>
      </c>
      <c r="AR126" s="94" t="str">
        <f t="shared" si="5"/>
        <v>2012w17</v>
      </c>
      <c r="AS126" s="309"/>
      <c r="AT126" s="309"/>
      <c r="AU126" s="9"/>
    </row>
    <row r="127" spans="17:47" ht="12.75" customHeight="1"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32"/>
      <c r="AI127" s="9"/>
      <c r="AJ127" s="9"/>
      <c r="AK127" s="9"/>
      <c r="AL127" s="9"/>
      <c r="AM127" s="309"/>
      <c r="AN127" s="309"/>
      <c r="AO127" s="94">
        <f t="shared" si="8"/>
        <v>41028</v>
      </c>
      <c r="AP127" s="94">
        <f t="shared" si="4"/>
        <v>41034</v>
      </c>
      <c r="AQ127" s="94">
        <v>18</v>
      </c>
      <c r="AR127" s="94" t="str">
        <f t="shared" si="5"/>
        <v>2012w18</v>
      </c>
      <c r="AS127" s="309"/>
      <c r="AT127" s="309"/>
      <c r="AU127" s="9"/>
    </row>
    <row r="128" spans="17:47" ht="12.75" customHeight="1"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32"/>
      <c r="AI128" s="9"/>
      <c r="AJ128" s="9"/>
      <c r="AK128" s="9"/>
      <c r="AL128" s="9"/>
      <c r="AM128" s="309"/>
      <c r="AN128" s="309"/>
      <c r="AO128" s="94">
        <f t="shared" si="8"/>
        <v>41035</v>
      </c>
      <c r="AP128" s="94">
        <f t="shared" si="4"/>
        <v>41041</v>
      </c>
      <c r="AQ128" s="94">
        <v>19</v>
      </c>
      <c r="AR128" s="94" t="str">
        <f t="shared" si="5"/>
        <v>2012w19</v>
      </c>
      <c r="AS128" s="309"/>
      <c r="AT128" s="309"/>
      <c r="AU128" s="9"/>
    </row>
    <row r="129" spans="17:47" ht="12.75" customHeight="1"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309"/>
      <c r="AN129" s="309"/>
      <c r="AO129" s="94">
        <f t="shared" si="8"/>
        <v>41042</v>
      </c>
      <c r="AP129" s="94">
        <f t="shared" si="4"/>
        <v>41048</v>
      </c>
      <c r="AQ129" s="94">
        <v>20</v>
      </c>
      <c r="AR129" s="94" t="str">
        <f t="shared" si="5"/>
        <v>2012w20</v>
      </c>
      <c r="AS129" s="309"/>
      <c r="AT129" s="309"/>
      <c r="AU129" s="9"/>
    </row>
    <row r="130" spans="17:47" ht="12.75" customHeight="1"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309"/>
      <c r="AN130" s="309"/>
      <c r="AO130" s="94">
        <f t="shared" si="8"/>
        <v>41049</v>
      </c>
      <c r="AP130" s="94">
        <f t="shared" si="4"/>
        <v>41055</v>
      </c>
      <c r="AQ130" s="94">
        <v>21</v>
      </c>
      <c r="AR130" s="94" t="str">
        <f t="shared" si="5"/>
        <v>2012w21</v>
      </c>
      <c r="AS130" s="309"/>
      <c r="AT130" s="309"/>
      <c r="AU130" s="9"/>
    </row>
    <row r="131" spans="17:47" ht="12.75" customHeight="1"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309"/>
      <c r="AN131" s="309"/>
      <c r="AO131" s="94">
        <f t="shared" si="8"/>
        <v>41056</v>
      </c>
      <c r="AP131" s="94">
        <f t="shared" si="4"/>
        <v>41062</v>
      </c>
      <c r="AQ131" s="94">
        <v>22</v>
      </c>
      <c r="AR131" s="94" t="str">
        <f t="shared" si="5"/>
        <v>2012w22</v>
      </c>
      <c r="AS131" s="309"/>
      <c r="AT131" s="309"/>
      <c r="AU131" s="9"/>
    </row>
    <row r="132" spans="17:47" ht="12.75" customHeight="1"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309"/>
      <c r="AN132" s="309"/>
      <c r="AO132" s="94">
        <f t="shared" si="8"/>
        <v>41063</v>
      </c>
      <c r="AP132" s="94">
        <f t="shared" si="4"/>
        <v>41069</v>
      </c>
      <c r="AQ132" s="94">
        <v>23</v>
      </c>
      <c r="AR132" s="94" t="str">
        <f t="shared" si="5"/>
        <v>2012w23</v>
      </c>
      <c r="AS132" s="309"/>
      <c r="AT132" s="309"/>
      <c r="AU132" s="9"/>
    </row>
    <row r="133" spans="17:47" ht="12.75" customHeight="1"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309"/>
      <c r="AN133" s="309"/>
      <c r="AO133" s="94">
        <f t="shared" si="8"/>
        <v>41070</v>
      </c>
      <c r="AP133" s="94">
        <f t="shared" si="4"/>
        <v>41076</v>
      </c>
      <c r="AQ133" s="94">
        <v>24</v>
      </c>
      <c r="AR133" s="94" t="str">
        <f t="shared" si="5"/>
        <v>2012w24</v>
      </c>
      <c r="AS133" s="309"/>
      <c r="AT133" s="309"/>
      <c r="AU133" s="9"/>
    </row>
    <row r="134" spans="17:47" ht="12.75" customHeight="1"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309"/>
      <c r="AN134" s="309"/>
      <c r="AO134" s="94">
        <f t="shared" si="8"/>
        <v>41077</v>
      </c>
      <c r="AP134" s="94">
        <f t="shared" si="4"/>
        <v>41083</v>
      </c>
      <c r="AQ134" s="94">
        <v>25</v>
      </c>
      <c r="AR134" s="94" t="str">
        <f t="shared" si="5"/>
        <v>2012w25</v>
      </c>
      <c r="AS134" s="309"/>
      <c r="AT134" s="309"/>
      <c r="AU134" s="9"/>
    </row>
    <row r="135" spans="17:47" ht="12.75" customHeight="1"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309"/>
      <c r="AN135" s="309"/>
      <c r="AO135" s="94">
        <f t="shared" si="8"/>
        <v>41084</v>
      </c>
      <c r="AP135" s="94">
        <f t="shared" si="4"/>
        <v>41090</v>
      </c>
      <c r="AQ135" s="94">
        <v>26</v>
      </c>
      <c r="AR135" s="94" t="str">
        <f t="shared" si="5"/>
        <v>2012w26</v>
      </c>
      <c r="AS135" s="309"/>
      <c r="AT135" s="309"/>
      <c r="AU135" s="9"/>
    </row>
    <row r="136" spans="17:47" ht="12.75" customHeight="1"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309"/>
      <c r="AN136" s="309"/>
      <c r="AO136" s="309"/>
      <c r="AP136" s="309"/>
      <c r="AQ136" s="309"/>
      <c r="AR136" s="309"/>
      <c r="AS136" s="309"/>
      <c r="AT136" s="309"/>
      <c r="AU136" s="9"/>
    </row>
    <row r="137" spans="17:47" ht="12.75" customHeight="1"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309"/>
      <c r="AN137" s="309"/>
      <c r="AO137" s="309"/>
      <c r="AP137" s="309"/>
      <c r="AQ137" s="309"/>
      <c r="AR137" s="309"/>
      <c r="AS137" s="309"/>
      <c r="AT137" s="309"/>
      <c r="AU137" s="9"/>
    </row>
    <row r="138" spans="17:47" ht="12.75" customHeight="1"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309"/>
      <c r="AN138" s="309"/>
      <c r="AO138" s="309"/>
      <c r="AP138" s="309"/>
      <c r="AQ138" s="309"/>
      <c r="AR138" s="309"/>
      <c r="AS138" s="309"/>
      <c r="AT138" s="309"/>
      <c r="AU138" s="9"/>
    </row>
    <row r="139" spans="17:47" ht="12.75" customHeight="1"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309"/>
      <c r="AN139" s="309"/>
      <c r="AO139" s="309"/>
      <c r="AP139" s="309"/>
      <c r="AQ139" s="309"/>
      <c r="AR139" s="309"/>
      <c r="AS139" s="309"/>
      <c r="AT139" s="309"/>
      <c r="AU139" s="9"/>
    </row>
    <row r="140" spans="17:47" ht="12.75" customHeight="1"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309"/>
      <c r="AN140" s="309"/>
      <c r="AO140" s="309"/>
      <c r="AP140" s="309"/>
      <c r="AQ140" s="309"/>
      <c r="AR140" s="309"/>
      <c r="AS140" s="309"/>
      <c r="AT140" s="309"/>
      <c r="AU140" s="9"/>
    </row>
    <row r="141" spans="17:47" ht="12.75" customHeight="1"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309"/>
      <c r="AN141" s="309"/>
      <c r="AO141" s="309"/>
      <c r="AP141" s="309"/>
      <c r="AQ141" s="309"/>
      <c r="AR141" s="309"/>
      <c r="AS141" s="309"/>
      <c r="AT141" s="309"/>
      <c r="AU141" s="9"/>
    </row>
    <row r="142" spans="17:47" ht="12.75" customHeight="1"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309"/>
      <c r="AN142" s="309"/>
      <c r="AO142" s="309"/>
      <c r="AP142" s="309"/>
      <c r="AQ142" s="309"/>
      <c r="AR142" s="309"/>
      <c r="AS142" s="309"/>
      <c r="AT142" s="309"/>
      <c r="AU142" s="9"/>
    </row>
    <row r="143" spans="17:47" ht="12.75" customHeight="1"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309"/>
      <c r="AN143" s="309"/>
      <c r="AO143" s="309"/>
      <c r="AP143" s="309"/>
      <c r="AQ143" s="309"/>
      <c r="AR143" s="309"/>
      <c r="AS143" s="309"/>
      <c r="AT143" s="309"/>
      <c r="AU143" s="9"/>
    </row>
    <row r="144" spans="17:47" ht="12.75" customHeight="1"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309"/>
      <c r="AN144" s="309"/>
      <c r="AO144" s="309"/>
      <c r="AP144" s="309"/>
      <c r="AQ144" s="309"/>
      <c r="AR144" s="309"/>
      <c r="AS144" s="309"/>
      <c r="AT144" s="309"/>
      <c r="AU144" s="9"/>
    </row>
    <row r="145" spans="17:47" ht="12.75" customHeight="1"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309"/>
      <c r="AN145" s="309"/>
      <c r="AO145" s="309"/>
      <c r="AP145" s="309"/>
      <c r="AQ145" s="309"/>
      <c r="AR145" s="309"/>
      <c r="AS145" s="309"/>
      <c r="AT145" s="309"/>
      <c r="AU145" s="9"/>
    </row>
    <row r="146" spans="17:47" ht="12.75" customHeight="1"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309"/>
      <c r="AN146" s="309"/>
      <c r="AO146" s="309"/>
      <c r="AP146" s="309"/>
      <c r="AQ146" s="309"/>
      <c r="AR146" s="309"/>
      <c r="AS146" s="309"/>
      <c r="AT146" s="309"/>
      <c r="AU146" s="9"/>
    </row>
    <row r="147" spans="17:47" ht="12.75" customHeight="1"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309"/>
      <c r="AN147" s="309"/>
      <c r="AO147" s="309"/>
      <c r="AP147" s="309"/>
      <c r="AQ147" s="309"/>
      <c r="AR147" s="309"/>
      <c r="AS147" s="309"/>
      <c r="AT147" s="309"/>
      <c r="AU147" s="9"/>
    </row>
    <row r="148" spans="17:47" ht="12.75" customHeight="1"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309"/>
      <c r="AN148" s="309"/>
      <c r="AO148" s="309"/>
      <c r="AP148" s="309"/>
      <c r="AQ148" s="309"/>
      <c r="AR148" s="309"/>
      <c r="AS148" s="309"/>
      <c r="AT148" s="309"/>
      <c r="AU148" s="9"/>
    </row>
    <row r="149" spans="17:47" ht="12.75" customHeight="1"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309"/>
      <c r="AN149" s="309"/>
      <c r="AO149" s="309"/>
      <c r="AP149" s="309"/>
      <c r="AQ149" s="309"/>
      <c r="AR149" s="309"/>
      <c r="AS149" s="309"/>
      <c r="AT149" s="309"/>
      <c r="AU149" s="9"/>
    </row>
    <row r="150" spans="17:47" ht="12.75" customHeight="1"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309"/>
      <c r="AN150" s="309"/>
      <c r="AO150" s="309"/>
      <c r="AP150" s="309"/>
      <c r="AQ150" s="309"/>
      <c r="AR150" s="309"/>
      <c r="AS150" s="309"/>
      <c r="AT150" s="309"/>
      <c r="AU150" s="9"/>
    </row>
    <row r="151" spans="17:47" ht="12.75" customHeight="1"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309"/>
      <c r="AN151" s="309"/>
      <c r="AO151" s="309"/>
      <c r="AP151" s="309"/>
      <c r="AQ151" s="309"/>
      <c r="AR151" s="309"/>
      <c r="AS151" s="309"/>
      <c r="AT151" s="309"/>
      <c r="AU151" s="9"/>
    </row>
    <row r="152" spans="17:47" ht="12.75" customHeight="1"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309"/>
      <c r="AN152" s="309"/>
      <c r="AO152" s="309"/>
      <c r="AP152" s="309"/>
      <c r="AQ152" s="309"/>
      <c r="AR152" s="309"/>
      <c r="AS152" s="309"/>
      <c r="AT152" s="309"/>
      <c r="AU152" s="9"/>
    </row>
    <row r="153" spans="17:47" ht="12.75" customHeight="1"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309"/>
      <c r="AN153" s="309"/>
      <c r="AO153" s="309"/>
      <c r="AP153" s="309"/>
      <c r="AQ153" s="309"/>
      <c r="AR153" s="309"/>
      <c r="AS153" s="309"/>
      <c r="AT153" s="309"/>
      <c r="AU153" s="9"/>
    </row>
    <row r="154" spans="17:47" ht="12.75" customHeight="1"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309"/>
      <c r="AN154" s="309"/>
      <c r="AO154" s="309"/>
      <c r="AP154" s="309"/>
      <c r="AQ154" s="309"/>
      <c r="AR154" s="309"/>
      <c r="AS154" s="309"/>
      <c r="AT154" s="309"/>
      <c r="AU154" s="9"/>
    </row>
    <row r="155" spans="17:47" ht="12.75" customHeight="1"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309"/>
      <c r="AN155" s="309"/>
      <c r="AO155" s="309"/>
      <c r="AP155" s="309"/>
      <c r="AQ155" s="309"/>
      <c r="AR155" s="309"/>
      <c r="AS155" s="309"/>
      <c r="AT155" s="309"/>
      <c r="AU155" s="9"/>
    </row>
    <row r="156" spans="17:47" ht="12.75" customHeight="1"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309"/>
      <c r="AN156" s="309"/>
      <c r="AO156" s="309"/>
      <c r="AP156" s="309"/>
      <c r="AQ156" s="309"/>
      <c r="AR156" s="309"/>
      <c r="AS156" s="309"/>
      <c r="AT156" s="309"/>
      <c r="AU156" s="9"/>
    </row>
    <row r="157" spans="17:47" ht="12.75" customHeight="1"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309"/>
      <c r="AN157" s="309"/>
      <c r="AO157" s="309"/>
      <c r="AP157" s="309"/>
      <c r="AQ157" s="309"/>
      <c r="AR157" s="309"/>
      <c r="AS157" s="309"/>
      <c r="AT157" s="309"/>
      <c r="AU157" s="9"/>
    </row>
    <row r="158" spans="17:47" ht="12.75" customHeight="1"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309"/>
      <c r="AN158" s="309"/>
      <c r="AO158" s="309"/>
      <c r="AP158" s="309"/>
      <c r="AQ158" s="309"/>
      <c r="AR158" s="309"/>
      <c r="AS158" s="309"/>
      <c r="AT158" s="309"/>
      <c r="AU158" s="9"/>
    </row>
    <row r="159" spans="17:47" ht="12.75" customHeight="1"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309"/>
      <c r="AN159" s="309"/>
      <c r="AO159" s="309"/>
      <c r="AP159" s="309"/>
      <c r="AQ159" s="309"/>
      <c r="AR159" s="309"/>
      <c r="AS159" s="309"/>
      <c r="AT159" s="309"/>
      <c r="AU159" s="9"/>
    </row>
    <row r="160" spans="17:47" ht="12.75" customHeight="1"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309"/>
      <c r="AN160" s="309"/>
      <c r="AO160" s="309"/>
      <c r="AP160" s="309"/>
      <c r="AQ160" s="309"/>
      <c r="AR160" s="309"/>
      <c r="AS160" s="309"/>
      <c r="AT160" s="309"/>
      <c r="AU160" s="9"/>
    </row>
    <row r="161" spans="17:47" ht="12.75" customHeight="1"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309"/>
      <c r="AN161" s="309"/>
      <c r="AO161" s="309"/>
      <c r="AP161" s="309"/>
      <c r="AQ161" s="309"/>
      <c r="AR161" s="309"/>
      <c r="AS161" s="309"/>
      <c r="AT161" s="309"/>
      <c r="AU161" s="9"/>
    </row>
    <row r="162" spans="17:47" ht="12.75" customHeight="1"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309"/>
      <c r="AN162" s="309"/>
      <c r="AO162" s="309"/>
      <c r="AP162" s="309"/>
      <c r="AQ162" s="309"/>
      <c r="AR162" s="309"/>
      <c r="AS162" s="309"/>
      <c r="AT162" s="309"/>
      <c r="AU162" s="9"/>
    </row>
    <row r="163" spans="17:47" ht="12.75" customHeight="1"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309"/>
      <c r="AN163" s="309"/>
      <c r="AO163" s="309"/>
      <c r="AP163" s="309"/>
      <c r="AQ163" s="309"/>
      <c r="AR163" s="309"/>
      <c r="AS163" s="309"/>
      <c r="AT163" s="309"/>
      <c r="AU163" s="9"/>
    </row>
    <row r="164" spans="17:47" ht="12.75" customHeight="1"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309"/>
      <c r="AN164" s="309"/>
      <c r="AO164" s="309"/>
      <c r="AP164" s="309"/>
      <c r="AQ164" s="309"/>
      <c r="AR164" s="309"/>
      <c r="AS164" s="309"/>
      <c r="AT164" s="309"/>
      <c r="AU164" s="9"/>
    </row>
    <row r="165" spans="17:47" ht="12.75" customHeight="1"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309"/>
      <c r="AN165" s="309"/>
      <c r="AO165" s="309"/>
      <c r="AP165" s="309"/>
      <c r="AQ165" s="309"/>
      <c r="AR165" s="309"/>
      <c r="AS165" s="309"/>
      <c r="AT165" s="309"/>
      <c r="AU165" s="9"/>
    </row>
    <row r="166" spans="17:47" ht="12.75" customHeight="1"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309"/>
      <c r="AN166" s="309"/>
      <c r="AO166" s="309"/>
      <c r="AP166" s="309"/>
      <c r="AQ166" s="309"/>
      <c r="AR166" s="309"/>
      <c r="AS166" s="309"/>
      <c r="AT166" s="309"/>
      <c r="AU166" s="9"/>
    </row>
    <row r="167" spans="17:47" ht="12.75" customHeight="1"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309"/>
      <c r="AN167" s="309"/>
      <c r="AO167" s="309"/>
      <c r="AP167" s="309"/>
      <c r="AQ167" s="309"/>
      <c r="AR167" s="309"/>
      <c r="AS167" s="309"/>
      <c r="AT167" s="309"/>
      <c r="AU167" s="9"/>
    </row>
    <row r="168" spans="17:47" ht="12.75" customHeight="1"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309"/>
      <c r="AN168" s="309"/>
      <c r="AO168" s="309"/>
      <c r="AP168" s="309"/>
      <c r="AQ168" s="309"/>
      <c r="AR168" s="309"/>
      <c r="AS168" s="309"/>
      <c r="AT168" s="309"/>
      <c r="AU168" s="9"/>
    </row>
    <row r="169" spans="17:47" ht="12.75" customHeight="1"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309"/>
      <c r="AN169" s="309"/>
      <c r="AO169" s="309"/>
      <c r="AP169" s="309"/>
      <c r="AQ169" s="309"/>
      <c r="AR169" s="309"/>
      <c r="AS169" s="309"/>
      <c r="AT169" s="309"/>
      <c r="AU169" s="9"/>
    </row>
    <row r="170" spans="17:47" ht="12.75" customHeight="1"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309"/>
      <c r="AN170" s="309"/>
      <c r="AO170" s="309"/>
      <c r="AP170" s="309"/>
      <c r="AQ170" s="309"/>
      <c r="AR170" s="309"/>
      <c r="AS170" s="309"/>
      <c r="AT170" s="309"/>
      <c r="AU170" s="9"/>
    </row>
    <row r="171" spans="17:47" ht="12.75" customHeight="1"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309"/>
      <c r="AN171" s="309"/>
      <c r="AO171" s="309"/>
      <c r="AP171" s="309"/>
      <c r="AQ171" s="309"/>
      <c r="AR171" s="309"/>
      <c r="AS171" s="309"/>
      <c r="AT171" s="309"/>
      <c r="AU171" s="9"/>
    </row>
    <row r="172" spans="17:47" ht="12.75" customHeight="1"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309"/>
      <c r="AN172" s="309"/>
      <c r="AO172" s="309"/>
      <c r="AP172" s="309"/>
      <c r="AQ172" s="309"/>
      <c r="AR172" s="309"/>
      <c r="AS172" s="309"/>
      <c r="AT172" s="309"/>
      <c r="AU172" s="9"/>
    </row>
    <row r="173" spans="17:47" ht="12.75" customHeight="1"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309"/>
      <c r="AN173" s="309"/>
      <c r="AO173" s="309"/>
      <c r="AP173" s="309"/>
      <c r="AQ173" s="309"/>
      <c r="AR173" s="309"/>
      <c r="AS173" s="309"/>
      <c r="AT173" s="309"/>
      <c r="AU173" s="9"/>
    </row>
    <row r="174" spans="17:47" ht="12.75" customHeight="1"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309"/>
      <c r="AN174" s="309"/>
      <c r="AO174" s="309"/>
      <c r="AP174" s="309"/>
      <c r="AQ174" s="309"/>
      <c r="AR174" s="309"/>
      <c r="AS174" s="309"/>
      <c r="AT174" s="309"/>
      <c r="AU174" s="9"/>
    </row>
    <row r="175" spans="17:47" ht="12.75" customHeight="1"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309"/>
      <c r="AN175" s="309"/>
      <c r="AO175" s="309"/>
      <c r="AP175" s="309"/>
      <c r="AQ175" s="309"/>
      <c r="AR175" s="309"/>
      <c r="AS175" s="309"/>
      <c r="AT175" s="309"/>
      <c r="AU175" s="9"/>
    </row>
    <row r="176" spans="17:47" ht="12.75" customHeight="1"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309"/>
      <c r="AN176" s="309"/>
      <c r="AO176" s="309"/>
      <c r="AP176" s="309"/>
      <c r="AQ176" s="309"/>
      <c r="AR176" s="309"/>
      <c r="AS176" s="309"/>
      <c r="AT176" s="309"/>
      <c r="AU176" s="9"/>
    </row>
    <row r="177" spans="17:47" ht="12.75" customHeight="1"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309"/>
      <c r="AN177" s="309"/>
      <c r="AO177" s="309"/>
      <c r="AP177" s="309"/>
      <c r="AQ177" s="309"/>
      <c r="AR177" s="309"/>
      <c r="AS177" s="309"/>
      <c r="AT177" s="309"/>
      <c r="AU177" s="9"/>
    </row>
    <row r="178" spans="17:47" ht="12.75" customHeight="1"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309"/>
      <c r="AN178" s="309"/>
      <c r="AO178" s="309"/>
      <c r="AP178" s="309"/>
      <c r="AQ178" s="309"/>
      <c r="AR178" s="309"/>
      <c r="AS178" s="309"/>
      <c r="AT178" s="309"/>
      <c r="AU178" s="9"/>
    </row>
    <row r="179" spans="17:47" ht="12.75" customHeight="1"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309"/>
      <c r="AN179" s="309"/>
      <c r="AO179" s="309"/>
      <c r="AP179" s="309"/>
      <c r="AQ179" s="309"/>
      <c r="AR179" s="309"/>
      <c r="AS179" s="309"/>
      <c r="AT179" s="309"/>
      <c r="AU179" s="9"/>
    </row>
    <row r="180" spans="17:47" ht="12.75" customHeight="1"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309"/>
      <c r="AN180" s="309"/>
      <c r="AO180" s="309"/>
      <c r="AP180" s="309"/>
      <c r="AQ180" s="309"/>
      <c r="AR180" s="309"/>
      <c r="AS180" s="309"/>
      <c r="AT180" s="309"/>
      <c r="AU180" s="9"/>
    </row>
    <row r="181" spans="17:47" ht="12.75" customHeight="1"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309"/>
      <c r="AN181" s="309"/>
      <c r="AO181" s="309"/>
      <c r="AP181" s="309"/>
      <c r="AQ181" s="309"/>
      <c r="AR181" s="309"/>
      <c r="AS181" s="309"/>
      <c r="AT181" s="309"/>
      <c r="AU181" s="9"/>
    </row>
    <row r="182" spans="17:47" ht="12.75" customHeight="1"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309"/>
      <c r="AN182" s="309"/>
      <c r="AO182" s="309"/>
      <c r="AP182" s="309"/>
      <c r="AQ182" s="309"/>
      <c r="AR182" s="309"/>
      <c r="AS182" s="309"/>
      <c r="AT182" s="309"/>
      <c r="AU182" s="9"/>
    </row>
    <row r="183" spans="17:47" ht="12.75" customHeight="1"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309"/>
      <c r="AN183" s="309"/>
      <c r="AO183" s="309"/>
      <c r="AP183" s="309"/>
      <c r="AQ183" s="309"/>
      <c r="AR183" s="309"/>
      <c r="AS183" s="309"/>
      <c r="AT183" s="309"/>
      <c r="AU183" s="9"/>
    </row>
    <row r="184" spans="17:47" ht="12.75" customHeight="1"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309"/>
      <c r="AN184" s="309"/>
      <c r="AO184" s="309"/>
      <c r="AP184" s="309"/>
      <c r="AQ184" s="309"/>
      <c r="AR184" s="309"/>
      <c r="AS184" s="309"/>
      <c r="AT184" s="309"/>
      <c r="AU184" s="9"/>
    </row>
    <row r="185" spans="17:47" ht="12.75" customHeight="1"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309"/>
      <c r="AN185" s="309"/>
      <c r="AO185" s="309"/>
      <c r="AP185" s="309"/>
      <c r="AQ185" s="309"/>
      <c r="AR185" s="309"/>
      <c r="AS185" s="309"/>
      <c r="AT185" s="309"/>
      <c r="AU185" s="9"/>
    </row>
    <row r="186" spans="17:47" ht="12.75" customHeight="1"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309"/>
      <c r="AN186" s="309"/>
      <c r="AO186" s="309"/>
      <c r="AP186" s="309"/>
      <c r="AQ186" s="309"/>
      <c r="AR186" s="309"/>
      <c r="AS186" s="309"/>
      <c r="AT186" s="309"/>
      <c r="AU186" s="9"/>
    </row>
    <row r="187" spans="17:47" ht="12.75" customHeight="1"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309"/>
      <c r="AN187" s="309"/>
      <c r="AO187" s="309"/>
      <c r="AP187" s="309"/>
      <c r="AQ187" s="309"/>
      <c r="AR187" s="309"/>
      <c r="AS187" s="309"/>
      <c r="AT187" s="309"/>
      <c r="AU187" s="9"/>
    </row>
    <row r="188" spans="17:47" ht="12.75" customHeight="1"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309"/>
      <c r="AN188" s="309"/>
      <c r="AO188" s="309"/>
      <c r="AP188" s="309"/>
      <c r="AQ188" s="309"/>
      <c r="AR188" s="309"/>
      <c r="AS188" s="309"/>
      <c r="AT188" s="309"/>
      <c r="AU188" s="9"/>
    </row>
    <row r="189" spans="17:47" ht="12.75" customHeight="1"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309"/>
      <c r="AN189" s="309"/>
      <c r="AO189" s="309"/>
      <c r="AP189" s="309"/>
      <c r="AQ189" s="309"/>
      <c r="AR189" s="309"/>
      <c r="AS189" s="309"/>
      <c r="AT189" s="309"/>
      <c r="AU189" s="9"/>
    </row>
    <row r="190" spans="17:47" ht="12.75" customHeight="1"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309"/>
      <c r="AN190" s="309"/>
      <c r="AO190" s="309"/>
      <c r="AP190" s="309"/>
      <c r="AQ190" s="309"/>
      <c r="AR190" s="309"/>
      <c r="AS190" s="309"/>
      <c r="AT190" s="309"/>
      <c r="AU190" s="9"/>
    </row>
    <row r="191" spans="17:47" ht="12.75" customHeight="1"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309"/>
      <c r="AN191" s="309"/>
      <c r="AO191" s="309"/>
      <c r="AP191" s="309"/>
      <c r="AQ191" s="309"/>
      <c r="AR191" s="309"/>
      <c r="AS191" s="309"/>
      <c r="AT191" s="309"/>
      <c r="AU191" s="9"/>
    </row>
    <row r="192" spans="17:47" ht="12.75" customHeight="1"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309"/>
      <c r="AN192" s="309"/>
      <c r="AO192" s="309"/>
      <c r="AP192" s="309"/>
      <c r="AQ192" s="309"/>
      <c r="AR192" s="309"/>
      <c r="AS192" s="309"/>
      <c r="AT192" s="309"/>
      <c r="AU192" s="9"/>
    </row>
    <row r="193" spans="17:47" ht="12.75" customHeight="1"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309"/>
      <c r="AN193" s="309"/>
      <c r="AO193" s="309"/>
      <c r="AP193" s="309"/>
      <c r="AQ193" s="309"/>
      <c r="AR193" s="309"/>
      <c r="AS193" s="309"/>
      <c r="AT193" s="309"/>
      <c r="AU193" s="9"/>
    </row>
    <row r="194" spans="17:47" ht="12.75" customHeight="1"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309"/>
      <c r="AN194" s="309"/>
      <c r="AO194" s="309"/>
      <c r="AP194" s="309"/>
      <c r="AQ194" s="309"/>
      <c r="AR194" s="309"/>
      <c r="AS194" s="309"/>
      <c r="AT194" s="309"/>
      <c r="AU194" s="9"/>
    </row>
    <row r="195" spans="17:47" ht="12.75" customHeight="1"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309"/>
      <c r="AN195" s="309"/>
      <c r="AO195" s="309"/>
      <c r="AP195" s="309"/>
      <c r="AQ195" s="309"/>
      <c r="AR195" s="309"/>
      <c r="AS195" s="309"/>
      <c r="AT195" s="309"/>
      <c r="AU195" s="9"/>
    </row>
    <row r="196" spans="17:47" ht="12.75" customHeight="1"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309"/>
      <c r="AN196" s="309"/>
      <c r="AO196" s="309"/>
      <c r="AP196" s="309"/>
      <c r="AQ196" s="309"/>
      <c r="AR196" s="309"/>
      <c r="AS196" s="309"/>
      <c r="AT196" s="309"/>
      <c r="AU196" s="9"/>
    </row>
    <row r="197" spans="17:47" ht="12.75" customHeight="1"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309"/>
      <c r="AN197" s="309"/>
      <c r="AO197" s="309"/>
      <c r="AP197" s="309"/>
      <c r="AQ197" s="309"/>
      <c r="AR197" s="309"/>
      <c r="AS197" s="309"/>
      <c r="AT197" s="309"/>
      <c r="AU197" s="9"/>
    </row>
    <row r="198" spans="17:47" ht="12.75" customHeight="1"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309"/>
      <c r="AN198" s="309"/>
      <c r="AO198" s="309"/>
      <c r="AP198" s="309"/>
      <c r="AQ198" s="309"/>
      <c r="AR198" s="309"/>
      <c r="AS198" s="309"/>
      <c r="AT198" s="309"/>
      <c r="AU198" s="9"/>
    </row>
    <row r="199" spans="17:47" ht="12.75" customHeight="1"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309"/>
      <c r="AN199" s="309"/>
      <c r="AO199" s="309"/>
      <c r="AP199" s="309"/>
      <c r="AQ199" s="309"/>
      <c r="AR199" s="309"/>
      <c r="AS199" s="309"/>
      <c r="AT199" s="309"/>
      <c r="AU199" s="9"/>
    </row>
    <row r="200" spans="17:47" ht="12.75" customHeight="1"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309"/>
      <c r="AN200" s="309"/>
      <c r="AO200" s="309"/>
      <c r="AP200" s="309"/>
      <c r="AQ200" s="309"/>
      <c r="AR200" s="309"/>
      <c r="AS200" s="309"/>
      <c r="AT200" s="309"/>
      <c r="AU200" s="9"/>
    </row>
    <row r="201" spans="17:47" ht="12.75" customHeight="1"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309"/>
      <c r="AN201" s="309"/>
      <c r="AO201" s="309"/>
      <c r="AP201" s="309"/>
      <c r="AQ201" s="309"/>
      <c r="AR201" s="309"/>
      <c r="AS201" s="309"/>
      <c r="AT201" s="309"/>
      <c r="AU201" s="9"/>
    </row>
    <row r="202" spans="17:47" ht="12.75" customHeight="1"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309"/>
      <c r="AN202" s="309"/>
      <c r="AO202" s="309"/>
      <c r="AP202" s="309"/>
      <c r="AQ202" s="309"/>
      <c r="AR202" s="309"/>
      <c r="AS202" s="309"/>
      <c r="AT202" s="309"/>
      <c r="AU202" s="9"/>
    </row>
    <row r="203" spans="17:47" ht="12.75" customHeight="1"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309"/>
      <c r="AN203" s="309"/>
      <c r="AO203" s="309"/>
      <c r="AP203" s="309"/>
      <c r="AQ203" s="309"/>
      <c r="AR203" s="309"/>
      <c r="AS203" s="309"/>
      <c r="AT203" s="309"/>
      <c r="AU203" s="9"/>
    </row>
    <row r="204" spans="17:47" ht="12.75" customHeight="1"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309"/>
      <c r="AN204" s="309"/>
      <c r="AO204" s="309"/>
      <c r="AP204" s="309"/>
      <c r="AQ204" s="309"/>
      <c r="AR204" s="309"/>
      <c r="AS204" s="309"/>
      <c r="AT204" s="309"/>
      <c r="AU204" s="9"/>
    </row>
    <row r="205" spans="17:47" ht="12.75" customHeight="1"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309"/>
      <c r="AN205" s="309"/>
      <c r="AO205" s="309"/>
      <c r="AP205" s="309"/>
      <c r="AQ205" s="309"/>
      <c r="AR205" s="309"/>
      <c r="AS205" s="309"/>
      <c r="AT205" s="309"/>
      <c r="AU205" s="9"/>
    </row>
    <row r="206" spans="17:47" ht="12.75" customHeight="1"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309"/>
      <c r="AN206" s="309"/>
      <c r="AO206" s="309"/>
      <c r="AP206" s="309"/>
      <c r="AQ206" s="309"/>
      <c r="AR206" s="309"/>
      <c r="AS206" s="309"/>
      <c r="AT206" s="309"/>
      <c r="AU206" s="9"/>
    </row>
    <row r="207" spans="17:47" ht="12.75" customHeight="1"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309"/>
      <c r="AN207" s="309"/>
      <c r="AO207" s="309"/>
      <c r="AP207" s="309"/>
      <c r="AQ207" s="309"/>
      <c r="AR207" s="309"/>
      <c r="AS207" s="309"/>
      <c r="AT207" s="309"/>
      <c r="AU207" s="9"/>
    </row>
    <row r="208" spans="17:47" ht="12.75" customHeight="1"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309"/>
      <c r="AN208" s="309"/>
      <c r="AO208" s="309"/>
      <c r="AP208" s="309"/>
      <c r="AQ208" s="309"/>
      <c r="AR208" s="309"/>
      <c r="AS208" s="309"/>
      <c r="AT208" s="309"/>
      <c r="AU208" s="9"/>
    </row>
    <row r="209" spans="17:47" ht="12.75" customHeight="1"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309"/>
      <c r="AN209" s="309"/>
      <c r="AO209" s="309"/>
      <c r="AP209" s="309"/>
      <c r="AQ209" s="309"/>
      <c r="AR209" s="309"/>
      <c r="AS209" s="309"/>
      <c r="AT209" s="309"/>
      <c r="AU209" s="9"/>
    </row>
    <row r="210" spans="17:47" ht="12.75" customHeight="1"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309"/>
      <c r="AN210" s="309"/>
      <c r="AO210" s="309"/>
      <c r="AP210" s="309"/>
      <c r="AQ210" s="309"/>
      <c r="AR210" s="309"/>
      <c r="AS210" s="309"/>
      <c r="AT210" s="309"/>
      <c r="AU210" s="9"/>
    </row>
    <row r="211" spans="17:47" ht="12.75" customHeight="1"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309"/>
      <c r="AN211" s="309"/>
      <c r="AO211" s="309"/>
      <c r="AP211" s="309"/>
      <c r="AQ211" s="309"/>
      <c r="AR211" s="309"/>
      <c r="AS211" s="309"/>
      <c r="AT211" s="309"/>
      <c r="AU211" s="9"/>
    </row>
    <row r="212" spans="17:47" ht="12.75" customHeight="1"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309"/>
      <c r="AN212" s="309"/>
      <c r="AO212" s="309"/>
      <c r="AP212" s="309"/>
      <c r="AQ212" s="309"/>
      <c r="AR212" s="309"/>
      <c r="AS212" s="309"/>
      <c r="AT212" s="309"/>
      <c r="AU212" s="9"/>
    </row>
    <row r="213" spans="17:47" ht="12.75" customHeight="1"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309"/>
      <c r="AN213" s="309"/>
      <c r="AO213" s="309"/>
      <c r="AP213" s="309"/>
      <c r="AQ213" s="309"/>
      <c r="AR213" s="309"/>
      <c r="AS213" s="309"/>
      <c r="AT213" s="309"/>
      <c r="AU213" s="9"/>
    </row>
    <row r="214" spans="17:47" ht="12.75" customHeight="1"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309"/>
      <c r="AN214" s="309"/>
      <c r="AO214" s="309"/>
      <c r="AP214" s="309"/>
      <c r="AQ214" s="309"/>
      <c r="AR214" s="309"/>
      <c r="AS214" s="309"/>
      <c r="AT214" s="309"/>
      <c r="AU214" s="9"/>
    </row>
    <row r="215" spans="17:47" ht="12.75" customHeight="1"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309"/>
      <c r="AN215" s="309"/>
      <c r="AO215" s="309"/>
      <c r="AP215" s="309"/>
      <c r="AQ215" s="309"/>
      <c r="AR215" s="309"/>
      <c r="AS215" s="309"/>
      <c r="AT215" s="309"/>
      <c r="AU215" s="9"/>
    </row>
    <row r="216" spans="17:47" ht="12.75" customHeight="1"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309"/>
      <c r="AN216" s="309"/>
      <c r="AO216" s="309"/>
      <c r="AP216" s="309"/>
      <c r="AQ216" s="309"/>
      <c r="AR216" s="309"/>
      <c r="AS216" s="309"/>
      <c r="AT216" s="309"/>
      <c r="AU216" s="9"/>
    </row>
    <row r="217" spans="17:47" ht="12.75" customHeight="1"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309"/>
      <c r="AN217" s="309"/>
      <c r="AO217" s="309"/>
      <c r="AP217" s="309"/>
      <c r="AQ217" s="309"/>
      <c r="AR217" s="309"/>
      <c r="AS217" s="309"/>
      <c r="AT217" s="309"/>
      <c r="AU217" s="9"/>
    </row>
    <row r="218" spans="17:47" ht="12.75" customHeight="1"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309"/>
      <c r="AN218" s="309"/>
      <c r="AO218" s="309"/>
      <c r="AP218" s="309"/>
      <c r="AQ218" s="309"/>
      <c r="AR218" s="309"/>
      <c r="AS218" s="309"/>
      <c r="AT218" s="309"/>
      <c r="AU218" s="9"/>
    </row>
    <row r="219" spans="17:47" ht="12.75" customHeight="1"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309"/>
      <c r="AN219" s="309"/>
      <c r="AO219" s="309"/>
      <c r="AP219" s="309"/>
      <c r="AQ219" s="309"/>
      <c r="AR219" s="309"/>
      <c r="AS219" s="309"/>
      <c r="AT219" s="309"/>
      <c r="AU219" s="9"/>
    </row>
    <row r="220" spans="17:47" ht="12.75" customHeight="1"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309"/>
      <c r="AN220" s="309"/>
      <c r="AO220" s="309"/>
      <c r="AP220" s="309"/>
      <c r="AQ220" s="309"/>
      <c r="AR220" s="309"/>
      <c r="AS220" s="309"/>
      <c r="AT220" s="309"/>
      <c r="AU220" s="9"/>
    </row>
    <row r="221" spans="17:47" ht="12.75" customHeight="1"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309"/>
      <c r="AN221" s="309"/>
      <c r="AO221" s="309"/>
      <c r="AP221" s="309"/>
      <c r="AQ221" s="309"/>
      <c r="AR221" s="309"/>
      <c r="AS221" s="309"/>
      <c r="AT221" s="309"/>
      <c r="AU221" s="9"/>
    </row>
    <row r="222" spans="17:47" ht="12.75" customHeight="1"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309"/>
      <c r="AN222" s="309"/>
      <c r="AO222" s="309"/>
      <c r="AP222" s="309"/>
      <c r="AQ222" s="309"/>
      <c r="AR222" s="309"/>
      <c r="AS222" s="309"/>
      <c r="AT222" s="309"/>
      <c r="AU222" s="9"/>
    </row>
    <row r="223" spans="17:47" ht="12.75" customHeight="1"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309"/>
      <c r="AN223" s="309"/>
      <c r="AO223" s="309"/>
      <c r="AP223" s="309"/>
      <c r="AQ223" s="309"/>
      <c r="AR223" s="309"/>
      <c r="AS223" s="309"/>
      <c r="AT223" s="309"/>
      <c r="AU223" s="9"/>
    </row>
    <row r="224" spans="17:47" ht="12.75" customHeight="1"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309"/>
      <c r="AN224" s="309"/>
      <c r="AO224" s="309"/>
      <c r="AP224" s="309"/>
      <c r="AQ224" s="309"/>
      <c r="AR224" s="309"/>
      <c r="AS224" s="309"/>
      <c r="AT224" s="309"/>
      <c r="AU224" s="9"/>
    </row>
    <row r="225" spans="17:47" ht="12.75" customHeight="1"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309"/>
      <c r="AN225" s="309"/>
      <c r="AO225" s="309"/>
      <c r="AP225" s="309"/>
      <c r="AQ225" s="309"/>
      <c r="AR225" s="309"/>
      <c r="AS225" s="309"/>
      <c r="AT225" s="309"/>
      <c r="AU225" s="9"/>
    </row>
    <row r="226" spans="17:47" ht="12.75" customHeight="1"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309"/>
      <c r="AN226" s="309"/>
      <c r="AO226" s="309"/>
      <c r="AP226" s="309"/>
      <c r="AQ226" s="309"/>
      <c r="AR226" s="309"/>
      <c r="AS226" s="309"/>
      <c r="AT226" s="309"/>
      <c r="AU226" s="9"/>
    </row>
    <row r="227" spans="17:47" ht="12.75" customHeight="1"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309"/>
      <c r="AN227" s="309"/>
      <c r="AO227" s="309"/>
      <c r="AP227" s="309"/>
      <c r="AQ227" s="309"/>
      <c r="AR227" s="309"/>
      <c r="AS227" s="309"/>
      <c r="AT227" s="309"/>
      <c r="AU227" s="9"/>
    </row>
    <row r="228" spans="17:47" ht="12.75" customHeight="1"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309"/>
      <c r="AN228" s="309"/>
      <c r="AO228" s="309"/>
      <c r="AP228" s="309"/>
      <c r="AQ228" s="309"/>
      <c r="AR228" s="309"/>
      <c r="AS228" s="309"/>
      <c r="AT228" s="309"/>
      <c r="AU228" s="9"/>
    </row>
    <row r="229" spans="17:47" ht="12.75" customHeight="1"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309"/>
      <c r="AN229" s="309"/>
      <c r="AO229" s="309"/>
      <c r="AP229" s="309"/>
      <c r="AQ229" s="309"/>
      <c r="AR229" s="309"/>
      <c r="AS229" s="309"/>
      <c r="AT229" s="309"/>
      <c r="AU229" s="9"/>
    </row>
    <row r="230" spans="17:47" ht="12.75" customHeight="1"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309"/>
      <c r="AN230" s="309"/>
      <c r="AO230" s="309"/>
      <c r="AP230" s="309"/>
      <c r="AQ230" s="309"/>
      <c r="AR230" s="309"/>
      <c r="AS230" s="309"/>
      <c r="AT230" s="309"/>
      <c r="AU230" s="9"/>
    </row>
    <row r="231" spans="17:47" ht="12.75" customHeight="1"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309"/>
      <c r="AN231" s="309"/>
      <c r="AO231" s="309"/>
      <c r="AP231" s="309"/>
      <c r="AQ231" s="309"/>
      <c r="AR231" s="309"/>
      <c r="AS231" s="309"/>
      <c r="AT231" s="309"/>
      <c r="AU231" s="9"/>
    </row>
    <row r="232" spans="17:47" ht="12.75" customHeight="1"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309"/>
      <c r="AN232" s="309"/>
      <c r="AO232" s="309"/>
      <c r="AP232" s="309"/>
      <c r="AQ232" s="309"/>
      <c r="AR232" s="309"/>
      <c r="AS232" s="309"/>
      <c r="AT232" s="309"/>
      <c r="AU232" s="9"/>
    </row>
    <row r="233" spans="17:47" ht="12.75" customHeight="1"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309"/>
      <c r="AN233" s="309"/>
      <c r="AO233" s="309"/>
      <c r="AP233" s="309"/>
      <c r="AQ233" s="309"/>
      <c r="AR233" s="309"/>
      <c r="AS233" s="309"/>
      <c r="AT233" s="309"/>
      <c r="AU233" s="9"/>
    </row>
    <row r="234" spans="17:47" ht="12.75" customHeight="1"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309"/>
      <c r="AN234" s="309"/>
      <c r="AO234" s="309"/>
      <c r="AP234" s="309"/>
      <c r="AQ234" s="309"/>
      <c r="AR234" s="309"/>
      <c r="AS234" s="309"/>
      <c r="AT234" s="309"/>
      <c r="AU234" s="9"/>
    </row>
    <row r="235" spans="17:47" ht="12.75" customHeight="1"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309"/>
      <c r="AN235" s="309"/>
      <c r="AO235" s="309"/>
      <c r="AP235" s="309"/>
      <c r="AQ235" s="309"/>
      <c r="AR235" s="309"/>
      <c r="AS235" s="309"/>
      <c r="AT235" s="309"/>
      <c r="AU235" s="9"/>
    </row>
    <row r="236" spans="17:47" ht="12.75" customHeight="1"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309"/>
      <c r="AN236" s="309"/>
      <c r="AO236" s="309"/>
      <c r="AP236" s="309"/>
      <c r="AQ236" s="309"/>
      <c r="AR236" s="309"/>
      <c r="AS236" s="309"/>
      <c r="AT236" s="309"/>
      <c r="AU236" s="9"/>
    </row>
    <row r="237" spans="17:47" ht="12.75" customHeight="1"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309"/>
      <c r="AN237" s="309"/>
      <c r="AO237" s="309"/>
      <c r="AP237" s="309"/>
      <c r="AQ237" s="309"/>
      <c r="AR237" s="309"/>
      <c r="AS237" s="309"/>
      <c r="AT237" s="309"/>
      <c r="AU237" s="9"/>
    </row>
    <row r="238" spans="17:47" ht="12.75" customHeight="1"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309"/>
      <c r="AN238" s="309"/>
      <c r="AO238" s="309"/>
      <c r="AP238" s="309"/>
      <c r="AQ238" s="309"/>
      <c r="AR238" s="309"/>
      <c r="AS238" s="309"/>
      <c r="AT238" s="309"/>
      <c r="AU238" s="9"/>
    </row>
    <row r="239" spans="17:47" ht="12.75" customHeight="1"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309"/>
      <c r="AN239" s="309"/>
      <c r="AO239" s="309"/>
      <c r="AP239" s="309"/>
      <c r="AQ239" s="309"/>
      <c r="AR239" s="309"/>
      <c r="AS239" s="309"/>
      <c r="AT239" s="309"/>
      <c r="AU239" s="9"/>
    </row>
    <row r="240" spans="17:47" ht="12.75" customHeight="1"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309"/>
      <c r="AN240" s="309"/>
      <c r="AO240" s="309"/>
      <c r="AP240" s="309"/>
      <c r="AQ240" s="309"/>
      <c r="AR240" s="309"/>
      <c r="AS240" s="309"/>
      <c r="AT240" s="309"/>
      <c r="AU240" s="9"/>
    </row>
    <row r="241" spans="17:47" ht="12.75" customHeight="1"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309"/>
      <c r="AN241" s="309"/>
      <c r="AO241" s="309"/>
      <c r="AP241" s="309"/>
      <c r="AQ241" s="309"/>
      <c r="AR241" s="309"/>
      <c r="AS241" s="309"/>
      <c r="AT241" s="309"/>
      <c r="AU241" s="9"/>
    </row>
    <row r="242" spans="17:47" ht="12.75" customHeight="1"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309"/>
      <c r="AN242" s="309"/>
      <c r="AO242" s="309"/>
      <c r="AP242" s="309"/>
      <c r="AQ242" s="309"/>
      <c r="AR242" s="309"/>
      <c r="AS242" s="309"/>
      <c r="AT242" s="309"/>
      <c r="AU242" s="9"/>
    </row>
    <row r="243" spans="17:47" ht="12.75" customHeight="1"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309"/>
      <c r="AN243" s="309"/>
      <c r="AO243" s="309"/>
      <c r="AP243" s="309"/>
      <c r="AQ243" s="309"/>
      <c r="AR243" s="309"/>
      <c r="AS243" s="309"/>
      <c r="AT243" s="309"/>
      <c r="AU243" s="9"/>
    </row>
    <row r="244" spans="17:47" ht="12.75" customHeight="1"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309"/>
      <c r="AN244" s="309"/>
      <c r="AO244" s="309"/>
      <c r="AP244" s="309"/>
      <c r="AQ244" s="309"/>
      <c r="AR244" s="309"/>
      <c r="AS244" s="309"/>
      <c r="AT244" s="309"/>
      <c r="AU244" s="9"/>
    </row>
    <row r="245" spans="17:47" ht="12.75" customHeight="1"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309"/>
      <c r="AN245" s="309"/>
      <c r="AO245" s="309"/>
      <c r="AP245" s="309"/>
      <c r="AQ245" s="309"/>
      <c r="AR245" s="309"/>
      <c r="AS245" s="309"/>
      <c r="AT245" s="309"/>
      <c r="AU245" s="9"/>
    </row>
    <row r="246" spans="17:47" ht="12.75" customHeight="1"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309"/>
      <c r="AN246" s="309"/>
      <c r="AO246" s="309"/>
      <c r="AP246" s="309"/>
      <c r="AQ246" s="309"/>
      <c r="AR246" s="309"/>
      <c r="AS246" s="309"/>
      <c r="AT246" s="309"/>
      <c r="AU246" s="9"/>
    </row>
    <row r="247" spans="17:47" ht="12.75" customHeight="1"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309"/>
      <c r="AN247" s="309"/>
      <c r="AO247" s="309"/>
      <c r="AP247" s="309"/>
      <c r="AQ247" s="309"/>
      <c r="AR247" s="309"/>
      <c r="AS247" s="309"/>
      <c r="AT247" s="309"/>
      <c r="AU247" s="9"/>
    </row>
    <row r="248" spans="17:47" ht="12.75" customHeight="1"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309"/>
      <c r="AN248" s="309"/>
      <c r="AO248" s="309"/>
      <c r="AP248" s="309"/>
      <c r="AQ248" s="309"/>
      <c r="AR248" s="309"/>
      <c r="AS248" s="309"/>
      <c r="AT248" s="309"/>
      <c r="AU248" s="9"/>
    </row>
    <row r="249" spans="17:47" ht="12.75" customHeight="1"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309"/>
      <c r="AN249" s="309"/>
      <c r="AO249" s="309"/>
      <c r="AP249" s="309"/>
      <c r="AQ249" s="309"/>
      <c r="AR249" s="309"/>
      <c r="AS249" s="309"/>
      <c r="AT249" s="309"/>
      <c r="AU249" s="9"/>
    </row>
    <row r="250" spans="17:47" ht="12.75" customHeight="1"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309"/>
      <c r="AN250" s="309"/>
      <c r="AO250" s="309"/>
      <c r="AP250" s="309"/>
      <c r="AQ250" s="309"/>
      <c r="AR250" s="309"/>
      <c r="AS250" s="309"/>
      <c r="AT250" s="309"/>
      <c r="AU250" s="9"/>
    </row>
    <row r="251" spans="17:47" ht="12.75" customHeight="1"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309"/>
      <c r="AN251" s="309"/>
      <c r="AO251" s="309"/>
      <c r="AP251" s="309"/>
      <c r="AQ251" s="309"/>
      <c r="AR251" s="309"/>
      <c r="AS251" s="309"/>
      <c r="AT251" s="309"/>
      <c r="AU251" s="9"/>
    </row>
    <row r="252" spans="17:47" ht="12.75" customHeight="1"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309"/>
      <c r="AN252" s="309"/>
      <c r="AO252" s="309"/>
      <c r="AP252" s="309"/>
      <c r="AQ252" s="309"/>
      <c r="AR252" s="309"/>
      <c r="AS252" s="309"/>
      <c r="AT252" s="309"/>
      <c r="AU252" s="9"/>
    </row>
    <row r="253" spans="17:47" ht="12.75" customHeight="1"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309"/>
      <c r="AN253" s="309"/>
      <c r="AO253" s="309"/>
      <c r="AP253" s="309"/>
      <c r="AQ253" s="309"/>
      <c r="AR253" s="309"/>
      <c r="AS253" s="309"/>
      <c r="AT253" s="309"/>
      <c r="AU253" s="9"/>
    </row>
    <row r="254" spans="17:47" ht="12.75" customHeight="1"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309"/>
      <c r="AN254" s="309"/>
      <c r="AO254" s="309"/>
      <c r="AP254" s="309"/>
      <c r="AQ254" s="309"/>
      <c r="AR254" s="309"/>
      <c r="AS254" s="309"/>
      <c r="AT254" s="309"/>
      <c r="AU254" s="9"/>
    </row>
    <row r="255" spans="17:47" ht="12.75" customHeight="1"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309"/>
      <c r="AN255" s="309"/>
      <c r="AO255" s="309"/>
      <c r="AP255" s="309"/>
      <c r="AQ255" s="309"/>
      <c r="AR255" s="309"/>
      <c r="AS255" s="309"/>
      <c r="AT255" s="309"/>
      <c r="AU255" s="9"/>
    </row>
    <row r="256" spans="17:47" ht="12.75" customHeight="1"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309"/>
      <c r="AN256" s="309"/>
      <c r="AO256" s="309"/>
      <c r="AP256" s="309"/>
      <c r="AQ256" s="309"/>
      <c r="AR256" s="309"/>
      <c r="AS256" s="309"/>
      <c r="AT256" s="309"/>
      <c r="AU256" s="9"/>
    </row>
    <row r="257" spans="17:47" ht="12.75" customHeight="1"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309"/>
      <c r="AN257" s="309"/>
      <c r="AO257" s="309"/>
      <c r="AP257" s="309"/>
      <c r="AQ257" s="309"/>
      <c r="AR257" s="309"/>
      <c r="AS257" s="309"/>
      <c r="AT257" s="309"/>
      <c r="AU257" s="9"/>
    </row>
    <row r="258" spans="17:47" ht="12.75" customHeight="1"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309"/>
      <c r="AN258" s="309"/>
      <c r="AO258" s="309"/>
      <c r="AP258" s="309"/>
      <c r="AQ258" s="309"/>
      <c r="AR258" s="309"/>
      <c r="AS258" s="309"/>
      <c r="AT258" s="309"/>
      <c r="AU258" s="9"/>
    </row>
    <row r="259" spans="17:47" ht="12.75" customHeight="1"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309"/>
      <c r="AN259" s="309"/>
      <c r="AO259" s="309"/>
      <c r="AP259" s="309"/>
      <c r="AQ259" s="309"/>
      <c r="AR259" s="309"/>
      <c r="AS259" s="309"/>
      <c r="AT259" s="309"/>
      <c r="AU259" s="9"/>
    </row>
    <row r="260" spans="17:47" ht="12.75" customHeight="1"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309"/>
      <c r="AN260" s="309"/>
      <c r="AO260" s="309"/>
      <c r="AP260" s="309"/>
      <c r="AQ260" s="309"/>
      <c r="AR260" s="309"/>
      <c r="AS260" s="309"/>
      <c r="AT260" s="309"/>
      <c r="AU260" s="9"/>
    </row>
    <row r="261" spans="17:47" ht="12.75" customHeight="1"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309"/>
      <c r="AN261" s="309"/>
      <c r="AO261" s="309"/>
      <c r="AP261" s="309"/>
      <c r="AQ261" s="309"/>
      <c r="AR261" s="309"/>
      <c r="AS261" s="309"/>
      <c r="AT261" s="309"/>
      <c r="AU261" s="9"/>
    </row>
    <row r="262" spans="17:47" ht="12.75" customHeight="1"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309"/>
      <c r="AN262" s="309"/>
      <c r="AO262" s="309"/>
      <c r="AP262" s="309"/>
      <c r="AQ262" s="309"/>
      <c r="AR262" s="309"/>
      <c r="AS262" s="309"/>
      <c r="AT262" s="309"/>
      <c r="AU262" s="9"/>
    </row>
    <row r="263" spans="17:47" ht="12.75" customHeight="1"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309"/>
      <c r="AN263" s="309"/>
      <c r="AO263" s="309"/>
      <c r="AP263" s="309"/>
      <c r="AQ263" s="309"/>
      <c r="AR263" s="309"/>
      <c r="AS263" s="309"/>
      <c r="AT263" s="309"/>
      <c r="AU263" s="9"/>
    </row>
    <row r="264" spans="17:47" ht="12.75" customHeight="1"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309"/>
      <c r="AN264" s="309"/>
      <c r="AO264" s="309"/>
      <c r="AP264" s="309"/>
      <c r="AQ264" s="309"/>
      <c r="AR264" s="309"/>
      <c r="AS264" s="309"/>
      <c r="AT264" s="309"/>
      <c r="AU264" s="9"/>
    </row>
    <row r="265" spans="17:47" ht="12.75" customHeight="1"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309"/>
      <c r="AN265" s="309"/>
      <c r="AO265" s="309"/>
      <c r="AP265" s="309"/>
      <c r="AQ265" s="309"/>
      <c r="AR265" s="309"/>
      <c r="AS265" s="309"/>
      <c r="AT265" s="309"/>
      <c r="AU265" s="9"/>
    </row>
    <row r="266" spans="17:47" ht="12.75" customHeight="1"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309"/>
      <c r="AN266" s="309"/>
      <c r="AO266" s="309"/>
      <c r="AP266" s="309"/>
      <c r="AQ266" s="309"/>
      <c r="AR266" s="309"/>
      <c r="AS266" s="309"/>
      <c r="AT266" s="309"/>
      <c r="AU266" s="9"/>
    </row>
    <row r="267" spans="17:47" ht="12.75" customHeight="1"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309"/>
      <c r="AN267" s="309"/>
      <c r="AO267" s="309"/>
      <c r="AP267" s="309"/>
      <c r="AQ267" s="309"/>
      <c r="AR267" s="309"/>
      <c r="AS267" s="309"/>
      <c r="AT267" s="309"/>
      <c r="AU267" s="9"/>
    </row>
    <row r="268" spans="17:47" ht="12.75" customHeight="1"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309"/>
      <c r="AN268" s="309"/>
      <c r="AO268" s="309"/>
      <c r="AP268" s="309"/>
      <c r="AQ268" s="309"/>
      <c r="AR268" s="309"/>
      <c r="AS268" s="309"/>
      <c r="AT268" s="309"/>
      <c r="AU268" s="9"/>
    </row>
    <row r="269" spans="17:47" ht="12.75" customHeight="1"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309"/>
      <c r="AN269" s="309"/>
      <c r="AO269" s="309"/>
      <c r="AP269" s="309"/>
      <c r="AQ269" s="309"/>
      <c r="AR269" s="309"/>
      <c r="AS269" s="309"/>
      <c r="AT269" s="309"/>
      <c r="AU269" s="9"/>
    </row>
    <row r="270" spans="17:47" ht="12.75" customHeight="1"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309"/>
      <c r="AN270" s="309"/>
      <c r="AO270" s="309"/>
      <c r="AP270" s="309"/>
      <c r="AQ270" s="309"/>
      <c r="AR270" s="309"/>
      <c r="AS270" s="309"/>
      <c r="AT270" s="309"/>
      <c r="AU270" s="9"/>
    </row>
    <row r="271" spans="17:47" ht="12.75" customHeight="1"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309"/>
      <c r="AN271" s="309"/>
      <c r="AO271" s="309"/>
      <c r="AP271" s="309"/>
      <c r="AQ271" s="309"/>
      <c r="AR271" s="309"/>
      <c r="AS271" s="309"/>
      <c r="AT271" s="309"/>
      <c r="AU271" s="9"/>
    </row>
    <row r="272" spans="17:47" ht="12.75" customHeight="1"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309"/>
      <c r="AN272" s="309"/>
      <c r="AO272" s="309"/>
      <c r="AP272" s="309"/>
      <c r="AQ272" s="309"/>
      <c r="AR272" s="309"/>
      <c r="AS272" s="309"/>
      <c r="AT272" s="309"/>
      <c r="AU272" s="9"/>
    </row>
    <row r="273" spans="17:47" ht="12.75" customHeight="1"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309"/>
      <c r="AN273" s="309"/>
      <c r="AO273" s="309"/>
      <c r="AP273" s="309"/>
      <c r="AQ273" s="309"/>
      <c r="AR273" s="309"/>
      <c r="AS273" s="309"/>
      <c r="AT273" s="309"/>
      <c r="AU273" s="9"/>
    </row>
    <row r="274" spans="17:47" ht="12.75" customHeight="1"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309"/>
      <c r="AN274" s="309"/>
      <c r="AO274" s="309"/>
      <c r="AP274" s="309"/>
      <c r="AQ274" s="309"/>
      <c r="AR274" s="309"/>
      <c r="AS274" s="309"/>
      <c r="AT274" s="309"/>
      <c r="AU274" s="9"/>
    </row>
    <row r="275" spans="17:47" ht="12.75" customHeight="1"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309"/>
      <c r="AN275" s="309"/>
      <c r="AO275" s="309"/>
      <c r="AP275" s="309"/>
      <c r="AQ275" s="309"/>
      <c r="AR275" s="309"/>
      <c r="AS275" s="309"/>
      <c r="AT275" s="309"/>
      <c r="AU275" s="9"/>
    </row>
    <row r="276" spans="17:47" ht="12.75" customHeight="1"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309"/>
      <c r="AN276" s="309"/>
      <c r="AO276" s="309"/>
      <c r="AP276" s="309"/>
      <c r="AQ276" s="309"/>
      <c r="AR276" s="309"/>
      <c r="AS276" s="309"/>
      <c r="AT276" s="309"/>
      <c r="AU276" s="9"/>
    </row>
    <row r="277" spans="17:47" ht="12.75" customHeight="1"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309"/>
      <c r="AN277" s="309"/>
      <c r="AO277" s="309"/>
      <c r="AP277" s="309"/>
      <c r="AQ277" s="309"/>
      <c r="AR277" s="309"/>
      <c r="AS277" s="309"/>
      <c r="AT277" s="309"/>
      <c r="AU277" s="9"/>
    </row>
    <row r="278" spans="17:47" ht="12.75" customHeight="1"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309"/>
      <c r="AN278" s="309"/>
      <c r="AO278" s="309"/>
      <c r="AP278" s="309"/>
      <c r="AQ278" s="309"/>
      <c r="AR278" s="309"/>
      <c r="AS278" s="309"/>
      <c r="AT278" s="309"/>
      <c r="AU278" s="9"/>
    </row>
    <row r="279" spans="17:47" ht="12.75" customHeight="1"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309"/>
      <c r="AN279" s="309"/>
      <c r="AO279" s="309"/>
      <c r="AP279" s="309"/>
      <c r="AQ279" s="309"/>
      <c r="AR279" s="309"/>
      <c r="AS279" s="309"/>
      <c r="AT279" s="309"/>
      <c r="AU279" s="9"/>
    </row>
    <row r="280" spans="17:47" ht="12.75" customHeight="1"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309"/>
      <c r="AN280" s="309"/>
      <c r="AO280" s="309"/>
      <c r="AP280" s="309"/>
      <c r="AQ280" s="309"/>
      <c r="AR280" s="309"/>
      <c r="AS280" s="309"/>
      <c r="AT280" s="309"/>
      <c r="AU280" s="9"/>
    </row>
    <row r="281" spans="17:47" ht="12.75" customHeight="1"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309"/>
      <c r="AN281" s="309"/>
      <c r="AO281" s="309"/>
      <c r="AP281" s="309"/>
      <c r="AQ281" s="309"/>
      <c r="AR281" s="309"/>
      <c r="AS281" s="309"/>
      <c r="AT281" s="309"/>
      <c r="AU281" s="9"/>
    </row>
    <row r="282" spans="17:47" ht="12.75" customHeight="1"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309"/>
      <c r="AN282" s="309"/>
      <c r="AO282" s="309"/>
      <c r="AP282" s="309"/>
      <c r="AQ282" s="309"/>
      <c r="AR282" s="309"/>
      <c r="AS282" s="309"/>
      <c r="AT282" s="309"/>
      <c r="AU282" s="9"/>
    </row>
    <row r="283" spans="17:47" ht="12.75" customHeight="1"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309"/>
      <c r="AN283" s="309"/>
      <c r="AO283" s="309"/>
      <c r="AP283" s="309"/>
      <c r="AQ283" s="309"/>
      <c r="AR283" s="309"/>
      <c r="AS283" s="309"/>
      <c r="AT283" s="309"/>
      <c r="AU283" s="9"/>
    </row>
    <row r="284" spans="17:47" ht="12.75" customHeight="1"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309"/>
      <c r="AN284" s="309"/>
      <c r="AO284" s="309"/>
      <c r="AP284" s="309"/>
      <c r="AQ284" s="309"/>
      <c r="AR284" s="309"/>
      <c r="AS284" s="309"/>
      <c r="AT284" s="309"/>
      <c r="AU284" s="9"/>
    </row>
    <row r="285" spans="17:47" ht="12.75" customHeight="1"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309"/>
      <c r="AN285" s="309"/>
      <c r="AO285" s="309"/>
      <c r="AP285" s="309"/>
      <c r="AQ285" s="309"/>
      <c r="AR285" s="309"/>
      <c r="AS285" s="309"/>
      <c r="AT285" s="309"/>
      <c r="AU285" s="9"/>
    </row>
    <row r="286" spans="17:47" ht="12.75" customHeight="1"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309"/>
      <c r="AN286" s="309"/>
      <c r="AO286" s="309"/>
      <c r="AP286" s="309"/>
      <c r="AQ286" s="309"/>
      <c r="AR286" s="309"/>
      <c r="AS286" s="309"/>
      <c r="AT286" s="309"/>
      <c r="AU286" s="9"/>
    </row>
    <row r="287" spans="17:47" ht="12.75" customHeight="1"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309"/>
      <c r="AN287" s="309"/>
      <c r="AO287" s="309"/>
      <c r="AP287" s="309"/>
      <c r="AQ287" s="309"/>
      <c r="AR287" s="309"/>
      <c r="AS287" s="309"/>
      <c r="AT287" s="309"/>
      <c r="AU287" s="9"/>
    </row>
    <row r="288" spans="17:47" ht="12.75" customHeight="1"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309"/>
      <c r="AN288" s="309"/>
      <c r="AO288" s="309"/>
      <c r="AP288" s="309"/>
      <c r="AQ288" s="309"/>
      <c r="AR288" s="309"/>
      <c r="AS288" s="309"/>
      <c r="AT288" s="309"/>
      <c r="AU288" s="9"/>
    </row>
    <row r="289" spans="17:47" ht="12.75" customHeight="1"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309"/>
      <c r="AN289" s="309"/>
      <c r="AO289" s="309"/>
      <c r="AP289" s="309"/>
      <c r="AQ289" s="309"/>
      <c r="AR289" s="309"/>
      <c r="AS289" s="309"/>
      <c r="AT289" s="309"/>
      <c r="AU289" s="9"/>
    </row>
    <row r="290" spans="17:47" ht="12.75" customHeight="1"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309"/>
      <c r="AN290" s="309"/>
      <c r="AO290" s="309"/>
      <c r="AP290" s="309"/>
      <c r="AQ290" s="309"/>
      <c r="AR290" s="309"/>
      <c r="AS290" s="309"/>
      <c r="AT290" s="309"/>
      <c r="AU290" s="9"/>
    </row>
    <row r="291" spans="17:47" ht="12.75" customHeight="1"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309"/>
      <c r="AN291" s="309"/>
      <c r="AO291" s="309"/>
      <c r="AP291" s="309"/>
      <c r="AQ291" s="309"/>
      <c r="AR291" s="309"/>
      <c r="AS291" s="309"/>
      <c r="AT291" s="309"/>
      <c r="AU291" s="9"/>
    </row>
    <row r="292" spans="17:47" ht="12.75" customHeight="1"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309"/>
      <c r="AN292" s="309"/>
      <c r="AO292" s="309"/>
      <c r="AP292" s="309"/>
      <c r="AQ292" s="309"/>
      <c r="AR292" s="309"/>
      <c r="AS292" s="309"/>
      <c r="AT292" s="309"/>
      <c r="AU292" s="9"/>
    </row>
    <row r="293" spans="17:47" ht="12.75" customHeight="1"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309"/>
      <c r="AN293" s="309"/>
      <c r="AO293" s="309"/>
      <c r="AP293" s="309"/>
      <c r="AQ293" s="309"/>
      <c r="AR293" s="309"/>
      <c r="AS293" s="309"/>
      <c r="AT293" s="309"/>
      <c r="AU293" s="9"/>
    </row>
    <row r="294" spans="17:47" ht="12.75" customHeight="1"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309"/>
      <c r="AN294" s="309"/>
      <c r="AO294" s="309"/>
      <c r="AP294" s="309"/>
      <c r="AQ294" s="309"/>
      <c r="AR294" s="309"/>
      <c r="AS294" s="309"/>
      <c r="AT294" s="309"/>
      <c r="AU294" s="9"/>
    </row>
    <row r="295" spans="17:47" ht="12.75" customHeight="1"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309"/>
      <c r="AN295" s="309"/>
      <c r="AO295" s="309"/>
      <c r="AP295" s="309"/>
      <c r="AQ295" s="309"/>
      <c r="AR295" s="309"/>
      <c r="AS295" s="309"/>
      <c r="AT295" s="309"/>
      <c r="AU295" s="9"/>
    </row>
    <row r="296" spans="17:47" ht="12.75" customHeight="1"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309"/>
      <c r="AN296" s="309"/>
      <c r="AO296" s="309"/>
      <c r="AP296" s="309"/>
      <c r="AQ296" s="309"/>
      <c r="AR296" s="309"/>
      <c r="AS296" s="309"/>
      <c r="AT296" s="309"/>
      <c r="AU296" s="9"/>
    </row>
    <row r="297" spans="17:47" ht="12.75" customHeight="1"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309"/>
      <c r="AN297" s="309"/>
      <c r="AO297" s="309"/>
      <c r="AP297" s="309"/>
      <c r="AQ297" s="309"/>
      <c r="AR297" s="309"/>
      <c r="AS297" s="309"/>
      <c r="AT297" s="309"/>
      <c r="AU297" s="9"/>
    </row>
    <row r="298" spans="17:47" ht="12.75" customHeight="1"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309"/>
      <c r="AN298" s="309"/>
      <c r="AO298" s="309"/>
      <c r="AP298" s="309"/>
      <c r="AQ298" s="309"/>
      <c r="AR298" s="309"/>
      <c r="AS298" s="309"/>
      <c r="AT298" s="309"/>
      <c r="AU298" s="9"/>
    </row>
    <row r="299" spans="17:47" ht="12.75" customHeight="1"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309"/>
      <c r="AN299" s="309"/>
      <c r="AO299" s="309"/>
      <c r="AP299" s="309"/>
      <c r="AQ299" s="309"/>
      <c r="AR299" s="309"/>
      <c r="AS299" s="309"/>
      <c r="AT299" s="309"/>
      <c r="AU299" s="9"/>
    </row>
    <row r="300" spans="17:47" ht="12.75" customHeight="1"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309"/>
      <c r="AN300" s="309"/>
      <c r="AO300" s="309"/>
      <c r="AP300" s="309"/>
      <c r="AQ300" s="309"/>
      <c r="AR300" s="309"/>
      <c r="AS300" s="309"/>
      <c r="AT300" s="309"/>
      <c r="AU300" s="9"/>
    </row>
    <row r="301" spans="17:47" ht="12.75" customHeight="1"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309"/>
      <c r="AN301" s="309"/>
      <c r="AO301" s="309"/>
      <c r="AP301" s="309"/>
      <c r="AQ301" s="309"/>
      <c r="AR301" s="309"/>
      <c r="AS301" s="309"/>
      <c r="AT301" s="309"/>
      <c r="AU301" s="9"/>
    </row>
    <row r="302" spans="17:47" ht="12.75" customHeight="1"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309"/>
      <c r="AN302" s="309"/>
      <c r="AO302" s="309"/>
      <c r="AP302" s="309"/>
      <c r="AQ302" s="309"/>
      <c r="AR302" s="309"/>
      <c r="AS302" s="309"/>
      <c r="AT302" s="309"/>
      <c r="AU302" s="9"/>
    </row>
    <row r="303" spans="17:47" ht="12.75" customHeight="1"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309"/>
      <c r="AN303" s="309"/>
      <c r="AO303" s="309"/>
      <c r="AP303" s="309"/>
      <c r="AQ303" s="309"/>
      <c r="AR303" s="309"/>
      <c r="AS303" s="309"/>
      <c r="AT303" s="309"/>
      <c r="AU303" s="9"/>
    </row>
    <row r="304" spans="17:47" ht="12.75" customHeight="1"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309"/>
      <c r="AN304" s="309"/>
      <c r="AO304" s="309"/>
      <c r="AP304" s="309"/>
      <c r="AQ304" s="309"/>
      <c r="AR304" s="309"/>
      <c r="AS304" s="309"/>
      <c r="AT304" s="309"/>
      <c r="AU304" s="9"/>
    </row>
    <row r="305" spans="17:47" ht="12.75" customHeight="1"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309"/>
      <c r="AN305" s="309"/>
      <c r="AO305" s="309"/>
      <c r="AP305" s="309"/>
      <c r="AQ305" s="309"/>
      <c r="AR305" s="309"/>
      <c r="AS305" s="309"/>
      <c r="AT305" s="309"/>
      <c r="AU305" s="9"/>
    </row>
    <row r="306" spans="17:47" ht="12.75" customHeight="1"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309"/>
      <c r="AN306" s="309"/>
      <c r="AO306" s="309"/>
      <c r="AP306" s="309"/>
      <c r="AQ306" s="309"/>
      <c r="AR306" s="309"/>
      <c r="AS306" s="309"/>
      <c r="AT306" s="309"/>
      <c r="AU306" s="9"/>
    </row>
    <row r="307" spans="17:47" ht="12.75" customHeight="1"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309"/>
      <c r="AN307" s="309"/>
      <c r="AO307" s="309"/>
      <c r="AP307" s="309"/>
      <c r="AQ307" s="309"/>
      <c r="AR307" s="309"/>
      <c r="AS307" s="309"/>
      <c r="AT307" s="309"/>
      <c r="AU307" s="9"/>
    </row>
    <row r="308" spans="17:47" ht="12.75" customHeight="1"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309"/>
      <c r="AN308" s="309"/>
      <c r="AO308" s="309"/>
      <c r="AP308" s="309"/>
      <c r="AQ308" s="309"/>
      <c r="AR308" s="309"/>
      <c r="AS308" s="309"/>
      <c r="AT308" s="309"/>
      <c r="AU308" s="9"/>
    </row>
    <row r="309" spans="17:47" ht="12.75" customHeight="1"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309"/>
      <c r="AN309" s="309"/>
      <c r="AO309" s="309"/>
      <c r="AP309" s="309"/>
      <c r="AQ309" s="309"/>
      <c r="AR309" s="309"/>
      <c r="AS309" s="309"/>
      <c r="AT309" s="309"/>
      <c r="AU309" s="9"/>
    </row>
    <row r="310" spans="17:47" ht="12.75" customHeight="1"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309"/>
      <c r="AN310" s="309"/>
      <c r="AO310" s="309"/>
      <c r="AP310" s="309"/>
      <c r="AQ310" s="309"/>
      <c r="AR310" s="309"/>
      <c r="AS310" s="309"/>
      <c r="AT310" s="309"/>
      <c r="AU310" s="9"/>
    </row>
    <row r="311" spans="17:47" ht="12.75" customHeight="1"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309"/>
      <c r="AN311" s="309"/>
      <c r="AO311" s="309"/>
      <c r="AP311" s="309"/>
      <c r="AQ311" s="309"/>
      <c r="AR311" s="309"/>
      <c r="AS311" s="309"/>
      <c r="AT311" s="309"/>
      <c r="AU311" s="9"/>
    </row>
    <row r="312" spans="17:47" ht="12.75" customHeight="1"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309"/>
      <c r="AN312" s="309"/>
      <c r="AO312" s="309"/>
      <c r="AP312" s="309"/>
      <c r="AQ312" s="309"/>
      <c r="AR312" s="309"/>
      <c r="AS312" s="309"/>
      <c r="AT312" s="309"/>
      <c r="AU312" s="9"/>
    </row>
    <row r="313" spans="17:47" ht="12.75" customHeight="1"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309"/>
      <c r="AN313" s="309"/>
      <c r="AO313" s="309"/>
      <c r="AP313" s="309"/>
      <c r="AQ313" s="309"/>
      <c r="AR313" s="309"/>
      <c r="AS313" s="309"/>
      <c r="AT313" s="309"/>
      <c r="AU313" s="9"/>
    </row>
    <row r="314" spans="17:47" ht="12.75" customHeight="1"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309"/>
      <c r="AN314" s="309"/>
      <c r="AO314" s="309"/>
      <c r="AP314" s="309"/>
      <c r="AQ314" s="309"/>
      <c r="AR314" s="309"/>
      <c r="AS314" s="309"/>
      <c r="AT314" s="309"/>
      <c r="AU314" s="9"/>
    </row>
    <row r="315" spans="17:47" ht="12.75" customHeight="1"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309"/>
      <c r="AN315" s="309"/>
      <c r="AO315" s="309"/>
      <c r="AP315" s="309"/>
      <c r="AQ315" s="309"/>
      <c r="AR315" s="309"/>
      <c r="AS315" s="309"/>
      <c r="AT315" s="309"/>
      <c r="AU315" s="9"/>
    </row>
    <row r="316" spans="17:47" ht="12.75" customHeight="1"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309"/>
      <c r="AN316" s="309"/>
      <c r="AO316" s="309"/>
      <c r="AP316" s="309"/>
      <c r="AQ316" s="309"/>
      <c r="AR316" s="309"/>
      <c r="AS316" s="309"/>
      <c r="AT316" s="309"/>
      <c r="AU316" s="9"/>
    </row>
    <row r="317" spans="17:47" ht="12.75" customHeight="1"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309"/>
      <c r="AN317" s="309"/>
      <c r="AO317" s="309"/>
      <c r="AP317" s="309"/>
      <c r="AQ317" s="309"/>
      <c r="AR317" s="309"/>
      <c r="AS317" s="309"/>
      <c r="AT317" s="309"/>
      <c r="AU317" s="9"/>
    </row>
    <row r="318" spans="17:47" ht="12.75" customHeight="1"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309"/>
      <c r="AN318" s="309"/>
      <c r="AO318" s="309"/>
      <c r="AP318" s="309"/>
      <c r="AQ318" s="309"/>
      <c r="AR318" s="309"/>
      <c r="AS318" s="309"/>
      <c r="AT318" s="309"/>
      <c r="AU318" s="9"/>
    </row>
    <row r="319" spans="17:47" ht="12.75" customHeight="1"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309"/>
      <c r="AN319" s="309"/>
      <c r="AO319" s="309"/>
      <c r="AP319" s="309"/>
      <c r="AQ319" s="309"/>
      <c r="AR319" s="309"/>
      <c r="AS319" s="309"/>
      <c r="AT319" s="309"/>
      <c r="AU319" s="9"/>
    </row>
    <row r="320" spans="17:47" ht="12.75" customHeight="1"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309"/>
      <c r="AN320" s="309"/>
      <c r="AO320" s="309"/>
      <c r="AP320" s="309"/>
      <c r="AQ320" s="309"/>
      <c r="AR320" s="309"/>
      <c r="AS320" s="309"/>
      <c r="AT320" s="309"/>
      <c r="AU320" s="9"/>
    </row>
    <row r="321" spans="17:47" ht="12.75" customHeight="1"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309"/>
      <c r="AN321" s="309"/>
      <c r="AO321" s="309"/>
      <c r="AP321" s="309"/>
      <c r="AQ321" s="309"/>
      <c r="AR321" s="309"/>
      <c r="AS321" s="309"/>
      <c r="AT321" s="309"/>
      <c r="AU321" s="9"/>
    </row>
    <row r="322" spans="17:47" ht="12.75" customHeight="1"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309"/>
      <c r="AN322" s="309"/>
      <c r="AO322" s="309"/>
      <c r="AP322" s="309"/>
      <c r="AQ322" s="309"/>
      <c r="AR322" s="309"/>
      <c r="AS322" s="309"/>
      <c r="AT322" s="309"/>
      <c r="AU322" s="9"/>
    </row>
    <row r="323" spans="17:47" ht="12.75" customHeight="1"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309"/>
      <c r="AN323" s="309"/>
      <c r="AO323" s="309"/>
      <c r="AP323" s="309"/>
      <c r="AQ323" s="309"/>
      <c r="AR323" s="309"/>
      <c r="AS323" s="309"/>
      <c r="AT323" s="309"/>
      <c r="AU323" s="9"/>
    </row>
    <row r="324" spans="17:47" ht="12.75" customHeight="1"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309"/>
      <c r="AN324" s="309"/>
      <c r="AO324" s="309"/>
      <c r="AP324" s="309"/>
      <c r="AQ324" s="309"/>
      <c r="AR324" s="309"/>
      <c r="AS324" s="309"/>
      <c r="AT324" s="309"/>
      <c r="AU324" s="9"/>
    </row>
    <row r="325" spans="17:47" ht="12.75" customHeight="1"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309"/>
      <c r="AN325" s="309"/>
      <c r="AO325" s="309"/>
      <c r="AP325" s="309"/>
      <c r="AQ325" s="309"/>
      <c r="AR325" s="309"/>
      <c r="AS325" s="309"/>
      <c r="AT325" s="309"/>
      <c r="AU325" s="9"/>
    </row>
    <row r="326" spans="17:47" ht="12.75" customHeight="1"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309"/>
      <c r="AN326" s="309"/>
      <c r="AO326" s="309"/>
      <c r="AP326" s="309"/>
      <c r="AQ326" s="309"/>
      <c r="AR326" s="309"/>
      <c r="AS326" s="309"/>
      <c r="AT326" s="309"/>
      <c r="AU326" s="9"/>
    </row>
    <row r="327" spans="17:47" ht="12.75" customHeight="1"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309"/>
      <c r="AN327" s="309"/>
      <c r="AO327" s="309"/>
      <c r="AP327" s="309"/>
      <c r="AQ327" s="309"/>
      <c r="AR327" s="309"/>
      <c r="AS327" s="309"/>
      <c r="AT327" s="309"/>
      <c r="AU327" s="9"/>
    </row>
    <row r="328" spans="17:47" ht="12.75" customHeight="1"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309"/>
      <c r="AN328" s="309"/>
      <c r="AO328" s="309"/>
      <c r="AP328" s="309"/>
      <c r="AQ328" s="309"/>
      <c r="AR328" s="309"/>
      <c r="AS328" s="309"/>
      <c r="AT328" s="309"/>
      <c r="AU328" s="9"/>
    </row>
    <row r="329" spans="17:47" ht="12.75" customHeight="1"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309"/>
      <c r="AN329" s="309"/>
      <c r="AO329" s="309"/>
      <c r="AP329" s="309"/>
      <c r="AQ329" s="309"/>
      <c r="AR329" s="309"/>
      <c r="AS329" s="309"/>
      <c r="AT329" s="309"/>
      <c r="AU329" s="9"/>
    </row>
    <row r="330" spans="17:47" ht="12.75" customHeight="1"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309"/>
      <c r="AN330" s="309"/>
      <c r="AO330" s="309"/>
      <c r="AP330" s="309"/>
      <c r="AQ330" s="309"/>
      <c r="AR330" s="309"/>
      <c r="AS330" s="309"/>
      <c r="AT330" s="309"/>
      <c r="AU330" s="9"/>
    </row>
    <row r="331" spans="17:47" ht="12.75" customHeight="1"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309"/>
      <c r="AN331" s="309"/>
      <c r="AO331" s="309"/>
      <c r="AP331" s="309"/>
      <c r="AQ331" s="309"/>
      <c r="AR331" s="309"/>
      <c r="AS331" s="309"/>
      <c r="AT331" s="309"/>
      <c r="AU331" s="9"/>
    </row>
    <row r="332" spans="17:47" ht="12.75" customHeight="1"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309"/>
      <c r="AN332" s="309"/>
      <c r="AO332" s="309"/>
      <c r="AP332" s="309"/>
      <c r="AQ332" s="309"/>
      <c r="AR332" s="309"/>
      <c r="AS332" s="309"/>
      <c r="AT332" s="309"/>
      <c r="AU332" s="9"/>
    </row>
    <row r="333" spans="17:47" ht="12.75" customHeight="1"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309"/>
      <c r="AN333" s="309"/>
      <c r="AO333" s="309"/>
      <c r="AP333" s="309"/>
      <c r="AQ333" s="309"/>
      <c r="AR333" s="309"/>
      <c r="AS333" s="309"/>
      <c r="AT333" s="309"/>
      <c r="AU333" s="9"/>
    </row>
    <row r="334" spans="17:47" ht="12.75" customHeight="1"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309"/>
      <c r="AN334" s="309"/>
      <c r="AO334" s="309"/>
      <c r="AP334" s="309"/>
      <c r="AQ334" s="309"/>
      <c r="AR334" s="309"/>
      <c r="AS334" s="309"/>
      <c r="AT334" s="309"/>
      <c r="AU334" s="9"/>
    </row>
    <row r="335" spans="17:47" ht="12.75" customHeight="1"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309"/>
      <c r="AN335" s="309"/>
      <c r="AO335" s="309"/>
      <c r="AP335" s="309"/>
      <c r="AQ335" s="309"/>
      <c r="AR335" s="309"/>
      <c r="AS335" s="309"/>
      <c r="AT335" s="309"/>
      <c r="AU335" s="9"/>
    </row>
    <row r="336" spans="17:47" ht="15.75" customHeight="1">
      <c r="Q336" s="309"/>
      <c r="R336" s="309"/>
      <c r="S336" s="309"/>
      <c r="T336" s="309"/>
      <c r="U336" s="309"/>
      <c r="V336" s="309"/>
      <c r="W336" s="309"/>
      <c r="X336" s="309"/>
      <c r="Y336" s="309"/>
      <c r="Z336" s="309"/>
      <c r="AA336" s="309"/>
      <c r="AB336" s="309"/>
      <c r="AC336" s="309"/>
      <c r="AD336" s="309"/>
      <c r="AE336" s="309"/>
      <c r="AF336" s="309"/>
      <c r="AG336" s="309"/>
      <c r="AH336" s="309"/>
      <c r="AI336" s="309"/>
      <c r="AJ336" s="309"/>
      <c r="AK336" s="309"/>
      <c r="AL336" s="309"/>
      <c r="AM336" s="309"/>
      <c r="AN336" s="309"/>
      <c r="AO336" s="309"/>
      <c r="AP336" s="309"/>
      <c r="AQ336" s="309"/>
      <c r="AR336" s="309"/>
      <c r="AS336" s="309"/>
      <c r="AT336" s="309"/>
      <c r="AU336" s="309"/>
    </row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B1:C1"/>
    <mergeCell ref="I1:P1"/>
    <mergeCell ref="BJ1:BP1"/>
    <mergeCell ref="AO2:AR2"/>
    <mergeCell ref="BK2:BM2"/>
    <mergeCell ref="BN2:BP2"/>
  </mergeCells>
  <dataValidations count="1">
    <dataValidation type="decimal" allowBlank="1" showInputMessage="1" showErrorMessage="1" sqref="AZ3" xr:uid="{00000000-0002-0000-0F00-000000000000}">
      <formula1>0</formula1>
      <formula2>1</formula2>
    </dataValidation>
  </dataValidations>
  <pageMargins left="0.75" right="0.75" top="1" bottom="1" header="0" footer="0"/>
  <pageSetup orientation="portrait"/>
  <legacy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BAE61"/>
    <pageSetUpPr fitToPage="1"/>
  </sheetPr>
  <dimension ref="A1:P1000"/>
  <sheetViews>
    <sheetView workbookViewId="0">
      <pane xSplit="3" ySplit="3" topLeftCell="D4" activePane="bottomRight" state="frozen"/>
      <selection pane="topRight"/>
      <selection pane="bottomLeft"/>
      <selection pane="bottomRight" activeCell="D4" sqref="D4"/>
    </sheetView>
  </sheetViews>
  <sheetFormatPr defaultColWidth="14.44140625" defaultRowHeight="15" customHeight="1"/>
  <cols>
    <col min="1" max="1" width="9.6640625" customWidth="1"/>
    <col min="2" max="2" width="8.6640625" customWidth="1"/>
    <col min="3" max="3" width="18.44140625" customWidth="1"/>
    <col min="4" max="5" width="11.44140625" customWidth="1"/>
    <col min="6" max="6" width="13.33203125" customWidth="1"/>
    <col min="7" max="8" width="11.44140625" customWidth="1"/>
    <col min="9" max="9" width="3.88671875" customWidth="1"/>
    <col min="10" max="10" width="9.88671875" customWidth="1"/>
    <col min="11" max="11" width="9.109375" customWidth="1"/>
    <col min="12" max="12" width="13.5546875" customWidth="1"/>
    <col min="13" max="14" width="9.109375" customWidth="1"/>
    <col min="15" max="15" width="3.6640625" customWidth="1"/>
    <col min="16" max="16" width="9.109375" customWidth="1"/>
  </cols>
  <sheetData>
    <row r="1" spans="1:16" ht="12.75" customHeight="1">
      <c r="A1" s="309"/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</row>
    <row r="2" spans="1:16" ht="12.75" customHeight="1">
      <c r="A2" s="309"/>
      <c r="B2" s="309"/>
      <c r="C2" s="309"/>
      <c r="D2" s="448" t="s">
        <v>518</v>
      </c>
      <c r="E2" s="436"/>
      <c r="F2" s="436"/>
      <c r="G2" s="436"/>
      <c r="H2" s="436"/>
      <c r="I2" s="7"/>
      <c r="J2" s="449" t="s">
        <v>519</v>
      </c>
      <c r="K2" s="436"/>
      <c r="L2" s="436"/>
      <c r="M2" s="436"/>
      <c r="N2" s="436"/>
      <c r="O2" s="309"/>
      <c r="P2" s="309"/>
    </row>
    <row r="3" spans="1:16" ht="12.75" customHeight="1">
      <c r="A3" s="1" t="s">
        <v>9</v>
      </c>
      <c r="B3" s="1" t="s">
        <v>520</v>
      </c>
      <c r="C3" s="1" t="s">
        <v>521</v>
      </c>
      <c r="D3" s="1" t="str">
        <f>Param!$H$3</f>
        <v>Exceed</v>
      </c>
      <c r="E3" s="1" t="str">
        <f>Param!$H$4</f>
        <v>Yes</v>
      </c>
      <c r="F3" s="1">
        <f>Param!$H$5</f>
        <v>0</v>
      </c>
      <c r="G3" s="1" t="str">
        <f>Param!$H$6</f>
        <v>No</v>
      </c>
      <c r="H3" s="1" t="str">
        <f>Param!$H$7</f>
        <v>n/a</v>
      </c>
      <c r="I3" s="309"/>
      <c r="J3" s="1" t="str">
        <f>Param!$H$3</f>
        <v>Exceed</v>
      </c>
      <c r="K3" s="1" t="str">
        <f>Param!$H$4</f>
        <v>Yes</v>
      </c>
      <c r="L3" s="1">
        <f>Param!$H$5</f>
        <v>0</v>
      </c>
      <c r="M3" s="1" t="str">
        <f>Param!$H$6</f>
        <v>No</v>
      </c>
      <c r="N3" s="1" t="str">
        <f>Param!$H$7</f>
        <v>n/a</v>
      </c>
      <c r="O3" s="309"/>
      <c r="P3" s="1" t="s">
        <v>70</v>
      </c>
    </row>
    <row r="4" spans="1:16" ht="12.75" customHeight="1">
      <c r="A4" s="2">
        <v>1</v>
      </c>
      <c r="B4" s="309" t="s">
        <v>58</v>
      </c>
      <c r="C4" s="309"/>
      <c r="D4" s="2" t="s">
        <v>522</v>
      </c>
      <c r="E4" s="2" t="s">
        <v>522</v>
      </c>
      <c r="F4" s="2" t="s">
        <v>522</v>
      </c>
      <c r="G4" s="2" t="s">
        <v>522</v>
      </c>
      <c r="H4" s="2" t="s">
        <v>522</v>
      </c>
      <c r="I4" s="309"/>
      <c r="J4" s="8">
        <v>24.5</v>
      </c>
      <c r="K4" s="8">
        <f t="shared" ref="K4:K6" si="0">VLOOKUP($B4,$A$41:$B$46,2,0)</f>
        <v>20</v>
      </c>
      <c r="L4" s="8">
        <f t="shared" ref="L4:L39" si="1">IF(F4="x",K4/2,"")</f>
        <v>10</v>
      </c>
      <c r="M4" s="8">
        <v>0</v>
      </c>
      <c r="N4" s="309">
        <v>0</v>
      </c>
      <c r="O4" s="9"/>
      <c r="P4" s="9" t="s">
        <v>81</v>
      </c>
    </row>
    <row r="5" spans="1:16" ht="12.75" customHeight="1">
      <c r="A5" s="2">
        <v>2</v>
      </c>
      <c r="B5" s="309" t="s">
        <v>58</v>
      </c>
      <c r="C5" s="309" t="s">
        <v>523</v>
      </c>
      <c r="D5" s="2" t="s">
        <v>522</v>
      </c>
      <c r="E5" s="2" t="s">
        <v>522</v>
      </c>
      <c r="F5" s="2"/>
      <c r="G5" s="2" t="s">
        <v>522</v>
      </c>
      <c r="H5" s="2" t="s">
        <v>522</v>
      </c>
      <c r="I5" s="309"/>
      <c r="J5" s="309">
        <v>24.5</v>
      </c>
      <c r="K5" s="8">
        <f t="shared" si="0"/>
        <v>20</v>
      </c>
      <c r="L5" s="8" t="str">
        <f t="shared" si="1"/>
        <v/>
      </c>
      <c r="M5" s="8">
        <f t="shared" ref="M5:N5" si="2">IF(G5="x",0,"")</f>
        <v>0</v>
      </c>
      <c r="N5" s="8">
        <f t="shared" si="2"/>
        <v>0</v>
      </c>
      <c r="O5" s="9"/>
      <c r="P5" s="9" t="s">
        <v>524</v>
      </c>
    </row>
    <row r="6" spans="1:16" ht="12.75" customHeight="1">
      <c r="A6" s="2">
        <v>3</v>
      </c>
      <c r="B6" s="309" t="s">
        <v>58</v>
      </c>
      <c r="C6" s="309"/>
      <c r="D6" s="2"/>
      <c r="E6" s="2" t="s">
        <v>522</v>
      </c>
      <c r="F6" s="2" t="s">
        <v>522</v>
      </c>
      <c r="G6" s="2" t="s">
        <v>522</v>
      </c>
      <c r="H6" s="2" t="s">
        <v>522</v>
      </c>
      <c r="I6" s="309"/>
      <c r="J6" s="309" t="s">
        <v>525</v>
      </c>
      <c r="K6" s="8">
        <f t="shared" si="0"/>
        <v>20</v>
      </c>
      <c r="L6" s="8">
        <f t="shared" si="1"/>
        <v>10</v>
      </c>
      <c r="M6" s="8">
        <f t="shared" ref="M6:N6" si="3">IF(G6="x",0,"")</f>
        <v>0</v>
      </c>
      <c r="N6" s="8">
        <f t="shared" si="3"/>
        <v>0</v>
      </c>
      <c r="O6" s="9"/>
      <c r="P6" s="9" t="s">
        <v>526</v>
      </c>
    </row>
    <row r="7" spans="1:16" ht="12.75" customHeight="1">
      <c r="A7" s="2">
        <v>4</v>
      </c>
      <c r="B7" s="309" t="s">
        <v>58</v>
      </c>
      <c r="C7" s="309" t="s">
        <v>222</v>
      </c>
      <c r="D7" s="2"/>
      <c r="E7" s="2" t="s">
        <v>522</v>
      </c>
      <c r="F7" s="2"/>
      <c r="G7" s="2" t="s">
        <v>522</v>
      </c>
      <c r="H7" s="2" t="s">
        <v>522</v>
      </c>
      <c r="I7" s="309"/>
      <c r="J7" s="309" t="s">
        <v>525</v>
      </c>
      <c r="K7" s="8">
        <f t="shared" ref="K7:K39" si="4">VLOOKUP($B7,$A$41:$B$47,2,0)</f>
        <v>20</v>
      </c>
      <c r="L7" s="8" t="str">
        <f t="shared" si="1"/>
        <v/>
      </c>
      <c r="M7" s="8">
        <f t="shared" ref="M7:N7" si="5">IF(G7="x",0,"")</f>
        <v>0</v>
      </c>
      <c r="N7" s="8">
        <f t="shared" si="5"/>
        <v>0</v>
      </c>
      <c r="O7" s="9"/>
      <c r="P7" s="9" t="s">
        <v>527</v>
      </c>
    </row>
    <row r="8" spans="1:16" ht="12.75" customHeight="1">
      <c r="A8" s="2">
        <v>5</v>
      </c>
      <c r="B8" s="309" t="s">
        <v>58</v>
      </c>
      <c r="C8" s="309"/>
      <c r="D8" s="2" t="s">
        <v>522</v>
      </c>
      <c r="E8" s="2" t="s">
        <v>522</v>
      </c>
      <c r="F8" s="2" t="s">
        <v>522</v>
      </c>
      <c r="G8" s="2" t="s">
        <v>522</v>
      </c>
      <c r="H8" s="309"/>
      <c r="I8" s="309"/>
      <c r="J8" s="309">
        <v>24.5</v>
      </c>
      <c r="K8" s="8">
        <f t="shared" si="4"/>
        <v>20</v>
      </c>
      <c r="L8" s="8">
        <f t="shared" si="1"/>
        <v>10</v>
      </c>
      <c r="M8" s="8">
        <f t="shared" ref="M8:N8" si="6">IF(G8="x",0,"")</f>
        <v>0</v>
      </c>
      <c r="N8" s="8" t="str">
        <f t="shared" si="6"/>
        <v/>
      </c>
      <c r="O8" s="9"/>
      <c r="P8" s="9" t="s">
        <v>528</v>
      </c>
    </row>
    <row r="9" spans="1:16" ht="12.75" customHeight="1">
      <c r="A9" s="2">
        <v>6</v>
      </c>
      <c r="B9" s="309" t="s">
        <v>58</v>
      </c>
      <c r="C9" s="309" t="s">
        <v>529</v>
      </c>
      <c r="D9" s="2" t="s">
        <v>522</v>
      </c>
      <c r="E9" s="2" t="s">
        <v>522</v>
      </c>
      <c r="F9" s="2"/>
      <c r="G9" s="2" t="s">
        <v>522</v>
      </c>
      <c r="H9" s="2"/>
      <c r="I9" s="309"/>
      <c r="J9" s="309">
        <v>24.5</v>
      </c>
      <c r="K9" s="8">
        <f t="shared" si="4"/>
        <v>20</v>
      </c>
      <c r="L9" s="8" t="str">
        <f t="shared" si="1"/>
        <v/>
      </c>
      <c r="M9" s="8">
        <f t="shared" ref="M9:N9" si="7">IF(G9="x",0,"")</f>
        <v>0</v>
      </c>
      <c r="N9" s="8" t="str">
        <f t="shared" si="7"/>
        <v/>
      </c>
      <c r="O9" s="9"/>
      <c r="P9" s="9" t="s">
        <v>530</v>
      </c>
    </row>
    <row r="10" spans="1:16" ht="12.75" customHeight="1">
      <c r="A10" s="2">
        <v>7</v>
      </c>
      <c r="B10" s="309" t="s">
        <v>58</v>
      </c>
      <c r="C10" s="309"/>
      <c r="D10" s="2"/>
      <c r="E10" s="2" t="s">
        <v>522</v>
      </c>
      <c r="F10" s="2" t="s">
        <v>522</v>
      </c>
      <c r="G10" s="2" t="s">
        <v>522</v>
      </c>
      <c r="H10" s="309"/>
      <c r="I10" s="309"/>
      <c r="J10" s="309" t="s">
        <v>525</v>
      </c>
      <c r="K10" s="8">
        <f t="shared" si="4"/>
        <v>20</v>
      </c>
      <c r="L10" s="8">
        <f t="shared" si="1"/>
        <v>10</v>
      </c>
      <c r="M10" s="8">
        <f t="shared" ref="M10:N10" si="8">IF(G10="x",0,"")</f>
        <v>0</v>
      </c>
      <c r="N10" s="8" t="str">
        <f t="shared" si="8"/>
        <v/>
      </c>
      <c r="O10" s="9"/>
      <c r="P10" s="9" t="s">
        <v>531</v>
      </c>
    </row>
    <row r="11" spans="1:16" ht="12.75" customHeight="1">
      <c r="A11" s="2">
        <v>8</v>
      </c>
      <c r="B11" s="309" t="s">
        <v>58</v>
      </c>
      <c r="C11" s="309" t="s">
        <v>243</v>
      </c>
      <c r="D11" s="2"/>
      <c r="E11" s="2" t="s">
        <v>522</v>
      </c>
      <c r="F11" s="2"/>
      <c r="G11" s="2" t="s">
        <v>522</v>
      </c>
      <c r="H11" s="309"/>
      <c r="I11" s="309"/>
      <c r="J11" s="309" t="s">
        <v>525</v>
      </c>
      <c r="K11" s="8">
        <f t="shared" si="4"/>
        <v>20</v>
      </c>
      <c r="L11" s="8" t="str">
        <f t="shared" si="1"/>
        <v/>
      </c>
      <c r="M11" s="8">
        <f t="shared" ref="M11:N11" si="9">IF(G11="x",0,"")</f>
        <v>0</v>
      </c>
      <c r="N11" s="8" t="str">
        <f t="shared" si="9"/>
        <v/>
      </c>
      <c r="O11" s="9"/>
      <c r="P11" s="9" t="s">
        <v>532</v>
      </c>
    </row>
    <row r="12" spans="1:16" ht="12.75" customHeight="1">
      <c r="A12" s="2">
        <v>9</v>
      </c>
      <c r="B12" s="309" t="s">
        <v>59</v>
      </c>
      <c r="C12" s="309"/>
      <c r="D12" s="2" t="s">
        <v>522</v>
      </c>
      <c r="E12" s="2" t="s">
        <v>522</v>
      </c>
      <c r="F12" s="2" t="s">
        <v>522</v>
      </c>
      <c r="G12" s="2" t="s">
        <v>522</v>
      </c>
      <c r="H12" s="2" t="s">
        <v>522</v>
      </c>
      <c r="I12" s="309"/>
      <c r="J12" s="309">
        <v>14.5</v>
      </c>
      <c r="K12" s="8">
        <f t="shared" si="4"/>
        <v>10</v>
      </c>
      <c r="L12" s="8">
        <f t="shared" si="1"/>
        <v>5</v>
      </c>
      <c r="M12" s="8">
        <f t="shared" ref="M12:N12" si="10">IF(G12="x",0,"")</f>
        <v>0</v>
      </c>
      <c r="N12" s="8">
        <f t="shared" si="10"/>
        <v>0</v>
      </c>
      <c r="O12" s="9"/>
      <c r="P12" s="9" t="s">
        <v>81</v>
      </c>
    </row>
    <row r="13" spans="1:16" ht="12.75" customHeight="1">
      <c r="A13" s="2">
        <v>10</v>
      </c>
      <c r="B13" s="309" t="s">
        <v>59</v>
      </c>
      <c r="C13" s="309" t="s">
        <v>533</v>
      </c>
      <c r="D13" s="2" t="s">
        <v>522</v>
      </c>
      <c r="E13" s="2" t="s">
        <v>522</v>
      </c>
      <c r="F13" s="2"/>
      <c r="G13" s="2" t="s">
        <v>522</v>
      </c>
      <c r="H13" s="2" t="s">
        <v>522</v>
      </c>
      <c r="I13" s="309"/>
      <c r="J13" s="309">
        <v>14.5</v>
      </c>
      <c r="K13" s="8">
        <f t="shared" si="4"/>
        <v>10</v>
      </c>
      <c r="L13" s="8" t="str">
        <f t="shared" si="1"/>
        <v/>
      </c>
      <c r="M13" s="8">
        <f t="shared" ref="M13:N13" si="11">IF(G13="x",0,"")</f>
        <v>0</v>
      </c>
      <c r="N13" s="8">
        <f t="shared" si="11"/>
        <v>0</v>
      </c>
      <c r="O13" s="9"/>
      <c r="P13" s="9" t="s">
        <v>524</v>
      </c>
    </row>
    <row r="14" spans="1:16" ht="12.75" customHeight="1">
      <c r="A14" s="2">
        <v>11</v>
      </c>
      <c r="B14" s="309" t="s">
        <v>59</v>
      </c>
      <c r="C14" s="309"/>
      <c r="D14" s="2"/>
      <c r="E14" s="2" t="s">
        <v>522</v>
      </c>
      <c r="F14" s="2" t="s">
        <v>522</v>
      </c>
      <c r="G14" s="2" t="s">
        <v>522</v>
      </c>
      <c r="H14" s="2" t="s">
        <v>522</v>
      </c>
      <c r="I14" s="309"/>
      <c r="J14" s="309" t="s">
        <v>525</v>
      </c>
      <c r="K14" s="8">
        <f t="shared" si="4"/>
        <v>10</v>
      </c>
      <c r="L14" s="8">
        <f t="shared" si="1"/>
        <v>5</v>
      </c>
      <c r="M14" s="8">
        <f t="shared" ref="M14:N14" si="12">IF(G14="x",0,"")</f>
        <v>0</v>
      </c>
      <c r="N14" s="8">
        <f t="shared" si="12"/>
        <v>0</v>
      </c>
      <c r="O14" s="9"/>
      <c r="P14" s="9" t="s">
        <v>526</v>
      </c>
    </row>
    <row r="15" spans="1:16" ht="12.75" customHeight="1">
      <c r="A15" s="2">
        <v>12</v>
      </c>
      <c r="B15" s="309" t="s">
        <v>59</v>
      </c>
      <c r="C15" s="309" t="s">
        <v>251</v>
      </c>
      <c r="D15" s="2"/>
      <c r="E15" s="2" t="s">
        <v>522</v>
      </c>
      <c r="F15" s="2"/>
      <c r="G15" s="2" t="s">
        <v>522</v>
      </c>
      <c r="H15" s="2" t="s">
        <v>522</v>
      </c>
      <c r="I15" s="309"/>
      <c r="J15" s="309" t="s">
        <v>525</v>
      </c>
      <c r="K15" s="8">
        <f t="shared" si="4"/>
        <v>10</v>
      </c>
      <c r="L15" s="8" t="str">
        <f t="shared" si="1"/>
        <v/>
      </c>
      <c r="M15" s="8">
        <f t="shared" ref="M15:N15" si="13">IF(G15="x",0,"")</f>
        <v>0</v>
      </c>
      <c r="N15" s="8">
        <f t="shared" si="13"/>
        <v>0</v>
      </c>
      <c r="O15" s="9"/>
      <c r="P15" s="9" t="s">
        <v>527</v>
      </c>
    </row>
    <row r="16" spans="1:16" ht="12.75" customHeight="1">
      <c r="A16" s="2">
        <v>13</v>
      </c>
      <c r="B16" s="309" t="s">
        <v>59</v>
      </c>
      <c r="C16" s="309"/>
      <c r="D16" s="2" t="s">
        <v>522</v>
      </c>
      <c r="E16" s="2" t="s">
        <v>522</v>
      </c>
      <c r="F16" s="2" t="s">
        <v>522</v>
      </c>
      <c r="G16" s="2" t="s">
        <v>522</v>
      </c>
      <c r="H16" s="309"/>
      <c r="I16" s="309"/>
      <c r="J16" s="309">
        <v>14.5</v>
      </c>
      <c r="K16" s="8">
        <f t="shared" si="4"/>
        <v>10</v>
      </c>
      <c r="L16" s="8">
        <f t="shared" si="1"/>
        <v>5</v>
      </c>
      <c r="M16" s="8">
        <f t="shared" ref="M16:N16" si="14">IF(G16="x",0,"")</f>
        <v>0</v>
      </c>
      <c r="N16" s="8" t="str">
        <f t="shared" si="14"/>
        <v/>
      </c>
      <c r="O16" s="9"/>
      <c r="P16" s="9" t="s">
        <v>528</v>
      </c>
    </row>
    <row r="17" spans="1:16" ht="12.75" customHeight="1">
      <c r="A17" s="2">
        <v>14</v>
      </c>
      <c r="B17" s="309" t="s">
        <v>59</v>
      </c>
      <c r="C17" s="309" t="s">
        <v>298</v>
      </c>
      <c r="D17" s="2" t="s">
        <v>522</v>
      </c>
      <c r="E17" s="2" t="s">
        <v>522</v>
      </c>
      <c r="F17" s="2"/>
      <c r="G17" s="2" t="s">
        <v>522</v>
      </c>
      <c r="H17" s="2"/>
      <c r="I17" s="309"/>
      <c r="J17" s="309">
        <v>14.5</v>
      </c>
      <c r="K17" s="8">
        <f t="shared" si="4"/>
        <v>10</v>
      </c>
      <c r="L17" s="8" t="str">
        <f t="shared" si="1"/>
        <v/>
      </c>
      <c r="M17" s="8">
        <f t="shared" ref="M17:N17" si="15">IF(G17="x",0,"")</f>
        <v>0</v>
      </c>
      <c r="N17" s="8" t="str">
        <f t="shared" si="15"/>
        <v/>
      </c>
      <c r="O17" s="9"/>
      <c r="P17" s="9" t="s">
        <v>530</v>
      </c>
    </row>
    <row r="18" spans="1:16" ht="12.75" customHeight="1">
      <c r="A18" s="2">
        <v>15</v>
      </c>
      <c r="B18" s="309" t="s">
        <v>59</v>
      </c>
      <c r="C18" s="309"/>
      <c r="D18" s="2"/>
      <c r="E18" s="2" t="s">
        <v>522</v>
      </c>
      <c r="F18" s="2" t="s">
        <v>522</v>
      </c>
      <c r="G18" s="2" t="s">
        <v>522</v>
      </c>
      <c r="H18" s="309"/>
      <c r="I18" s="309"/>
      <c r="J18" s="309" t="s">
        <v>525</v>
      </c>
      <c r="K18" s="8">
        <f t="shared" si="4"/>
        <v>10</v>
      </c>
      <c r="L18" s="8">
        <f t="shared" si="1"/>
        <v>5</v>
      </c>
      <c r="M18" s="8">
        <f t="shared" ref="M18:N18" si="16">IF(G18="x",0,"")</f>
        <v>0</v>
      </c>
      <c r="N18" s="8" t="str">
        <f t="shared" si="16"/>
        <v/>
      </c>
      <c r="O18" s="9"/>
      <c r="P18" s="9" t="s">
        <v>531</v>
      </c>
    </row>
    <row r="19" spans="1:16" ht="12.75" customHeight="1">
      <c r="A19" s="2">
        <v>16</v>
      </c>
      <c r="B19" s="309" t="s">
        <v>59</v>
      </c>
      <c r="C19" s="309" t="s">
        <v>271</v>
      </c>
      <c r="D19" s="2"/>
      <c r="E19" s="2" t="s">
        <v>522</v>
      </c>
      <c r="F19" s="2"/>
      <c r="G19" s="2" t="s">
        <v>522</v>
      </c>
      <c r="H19" s="309"/>
      <c r="I19" s="309"/>
      <c r="J19" s="309" t="s">
        <v>525</v>
      </c>
      <c r="K19" s="8">
        <f t="shared" si="4"/>
        <v>10</v>
      </c>
      <c r="L19" s="8" t="str">
        <f t="shared" si="1"/>
        <v/>
      </c>
      <c r="M19" s="8">
        <f t="shared" ref="M19:N19" si="17">IF(G19="x",0,"")</f>
        <v>0</v>
      </c>
      <c r="N19" s="8" t="str">
        <f t="shared" si="17"/>
        <v/>
      </c>
      <c r="O19" s="9"/>
      <c r="P19" s="9" t="s">
        <v>532</v>
      </c>
    </row>
    <row r="20" spans="1:16" ht="12.75" customHeight="1">
      <c r="A20" s="2">
        <v>17</v>
      </c>
      <c r="B20" s="309" t="s">
        <v>60</v>
      </c>
      <c r="C20" s="309"/>
      <c r="D20" s="2" t="s">
        <v>522</v>
      </c>
      <c r="E20" s="2" t="s">
        <v>522</v>
      </c>
      <c r="F20" s="2" t="s">
        <v>522</v>
      </c>
      <c r="G20" s="2" t="s">
        <v>522</v>
      </c>
      <c r="H20" s="2" t="s">
        <v>522</v>
      </c>
      <c r="I20" s="309"/>
      <c r="J20" s="309">
        <v>10.5</v>
      </c>
      <c r="K20" s="8">
        <f t="shared" si="4"/>
        <v>6</v>
      </c>
      <c r="L20" s="8">
        <f t="shared" si="1"/>
        <v>3</v>
      </c>
      <c r="M20" s="8">
        <f t="shared" ref="M20:N20" si="18">IF(G20="x",0,"")</f>
        <v>0</v>
      </c>
      <c r="N20" s="8">
        <f t="shared" si="18"/>
        <v>0</v>
      </c>
      <c r="O20" s="9"/>
      <c r="P20" s="9" t="s">
        <v>81</v>
      </c>
    </row>
    <row r="21" spans="1:16" ht="12.75" customHeight="1">
      <c r="A21" s="2">
        <v>18</v>
      </c>
      <c r="B21" s="309" t="s">
        <v>60</v>
      </c>
      <c r="C21" s="309" t="s">
        <v>269</v>
      </c>
      <c r="D21" s="2" t="s">
        <v>522</v>
      </c>
      <c r="E21" s="2" t="s">
        <v>522</v>
      </c>
      <c r="F21" s="2"/>
      <c r="G21" s="2" t="s">
        <v>522</v>
      </c>
      <c r="H21" s="2" t="s">
        <v>522</v>
      </c>
      <c r="I21" s="309"/>
      <c r="J21" s="309">
        <v>10.5</v>
      </c>
      <c r="K21" s="8">
        <f t="shared" si="4"/>
        <v>6</v>
      </c>
      <c r="L21" s="8" t="str">
        <f t="shared" si="1"/>
        <v/>
      </c>
      <c r="M21" s="8">
        <f t="shared" ref="M21:N21" si="19">IF(G21="x",0,"")</f>
        <v>0</v>
      </c>
      <c r="N21" s="8">
        <f t="shared" si="19"/>
        <v>0</v>
      </c>
      <c r="O21" s="9"/>
      <c r="P21" s="9" t="s">
        <v>524</v>
      </c>
    </row>
    <row r="22" spans="1:16" ht="12.75" customHeight="1">
      <c r="A22" s="2">
        <v>19</v>
      </c>
      <c r="B22" s="309" t="s">
        <v>60</v>
      </c>
      <c r="C22" s="309"/>
      <c r="D22" s="2"/>
      <c r="E22" s="2" t="s">
        <v>522</v>
      </c>
      <c r="F22" s="2" t="s">
        <v>522</v>
      </c>
      <c r="G22" s="2" t="s">
        <v>522</v>
      </c>
      <c r="H22" s="2" t="s">
        <v>522</v>
      </c>
      <c r="I22" s="309"/>
      <c r="J22" s="309" t="s">
        <v>525</v>
      </c>
      <c r="K22" s="8">
        <f t="shared" si="4"/>
        <v>6</v>
      </c>
      <c r="L22" s="8">
        <f t="shared" si="1"/>
        <v>3</v>
      </c>
      <c r="M22" s="8">
        <f t="shared" ref="M22:N22" si="20">IF(G22="x",0,"")</f>
        <v>0</v>
      </c>
      <c r="N22" s="8">
        <f t="shared" si="20"/>
        <v>0</v>
      </c>
      <c r="O22" s="9"/>
      <c r="P22" s="9" t="s">
        <v>526</v>
      </c>
    </row>
    <row r="23" spans="1:16" ht="12.75" customHeight="1">
      <c r="A23" s="2">
        <v>20</v>
      </c>
      <c r="B23" s="309" t="s">
        <v>60</v>
      </c>
      <c r="C23" s="309" t="s">
        <v>79</v>
      </c>
      <c r="D23" s="2"/>
      <c r="E23" s="2" t="s">
        <v>522</v>
      </c>
      <c r="F23" s="2"/>
      <c r="G23" s="2" t="s">
        <v>522</v>
      </c>
      <c r="H23" s="2" t="s">
        <v>522</v>
      </c>
      <c r="I23" s="309"/>
      <c r="J23" s="309" t="s">
        <v>525</v>
      </c>
      <c r="K23" s="8">
        <f t="shared" si="4"/>
        <v>6</v>
      </c>
      <c r="L23" s="8" t="str">
        <f t="shared" si="1"/>
        <v/>
      </c>
      <c r="M23" s="8">
        <f t="shared" ref="M23:N23" si="21">IF(G23="x",0,"")</f>
        <v>0</v>
      </c>
      <c r="N23" s="8">
        <f t="shared" si="21"/>
        <v>0</v>
      </c>
      <c r="O23" s="9"/>
      <c r="P23" s="9" t="s">
        <v>527</v>
      </c>
    </row>
    <row r="24" spans="1:16" ht="12.75" customHeight="1">
      <c r="A24" s="2">
        <v>21</v>
      </c>
      <c r="B24" s="309" t="s">
        <v>60</v>
      </c>
      <c r="C24" s="309"/>
      <c r="D24" s="2" t="s">
        <v>522</v>
      </c>
      <c r="E24" s="2" t="s">
        <v>522</v>
      </c>
      <c r="F24" s="2" t="s">
        <v>522</v>
      </c>
      <c r="G24" s="2" t="s">
        <v>522</v>
      </c>
      <c r="H24" s="309"/>
      <c r="I24" s="309"/>
      <c r="J24" s="309">
        <v>10.5</v>
      </c>
      <c r="K24" s="8">
        <f t="shared" si="4"/>
        <v>6</v>
      </c>
      <c r="L24" s="8">
        <f t="shared" si="1"/>
        <v>3</v>
      </c>
      <c r="M24" s="8">
        <f t="shared" ref="M24:N24" si="22">IF(G24="x",0,"")</f>
        <v>0</v>
      </c>
      <c r="N24" s="8" t="str">
        <f t="shared" si="22"/>
        <v/>
      </c>
      <c r="O24" s="9"/>
      <c r="P24" s="9" t="s">
        <v>528</v>
      </c>
    </row>
    <row r="25" spans="1:16" ht="12.75" customHeight="1">
      <c r="A25" s="2">
        <v>22</v>
      </c>
      <c r="B25" s="309" t="s">
        <v>60</v>
      </c>
      <c r="C25" s="309" t="s">
        <v>181</v>
      </c>
      <c r="D25" s="2" t="s">
        <v>522</v>
      </c>
      <c r="E25" s="2" t="s">
        <v>522</v>
      </c>
      <c r="F25" s="2"/>
      <c r="G25" s="2" t="s">
        <v>522</v>
      </c>
      <c r="H25" s="2"/>
      <c r="I25" s="309"/>
      <c r="J25" s="309">
        <v>10.5</v>
      </c>
      <c r="K25" s="8">
        <f t="shared" si="4"/>
        <v>6</v>
      </c>
      <c r="L25" s="8" t="str">
        <f t="shared" si="1"/>
        <v/>
      </c>
      <c r="M25" s="8">
        <f t="shared" ref="M25:N25" si="23">IF(G25="x",0,"")</f>
        <v>0</v>
      </c>
      <c r="N25" s="8" t="str">
        <f t="shared" si="23"/>
        <v/>
      </c>
      <c r="O25" s="9"/>
      <c r="P25" s="9" t="s">
        <v>530</v>
      </c>
    </row>
    <row r="26" spans="1:16" ht="12.75" customHeight="1">
      <c r="A26" s="2">
        <v>23</v>
      </c>
      <c r="B26" s="309" t="s">
        <v>60</v>
      </c>
      <c r="C26" s="309"/>
      <c r="D26" s="2"/>
      <c r="E26" s="2" t="s">
        <v>522</v>
      </c>
      <c r="F26" s="2" t="s">
        <v>522</v>
      </c>
      <c r="G26" s="2" t="s">
        <v>522</v>
      </c>
      <c r="H26" s="309"/>
      <c r="I26" s="309"/>
      <c r="J26" s="309" t="s">
        <v>525</v>
      </c>
      <c r="K26" s="8">
        <f t="shared" si="4"/>
        <v>6</v>
      </c>
      <c r="L26" s="8">
        <f t="shared" si="1"/>
        <v>3</v>
      </c>
      <c r="M26" s="8">
        <f t="shared" ref="M26:N26" si="24">IF(G26="x",0,"")</f>
        <v>0</v>
      </c>
      <c r="N26" s="8" t="str">
        <f t="shared" si="24"/>
        <v/>
      </c>
      <c r="O26" s="9"/>
      <c r="P26" s="9" t="s">
        <v>531</v>
      </c>
    </row>
    <row r="27" spans="1:16" ht="12.75" customHeight="1">
      <c r="A27" s="2">
        <v>24</v>
      </c>
      <c r="B27" s="309" t="s">
        <v>60</v>
      </c>
      <c r="C27" s="309" t="s">
        <v>210</v>
      </c>
      <c r="D27" s="2"/>
      <c r="E27" s="2" t="s">
        <v>522</v>
      </c>
      <c r="F27" s="2"/>
      <c r="G27" s="2" t="s">
        <v>522</v>
      </c>
      <c r="H27" s="309"/>
      <c r="I27" s="309"/>
      <c r="J27" s="309" t="s">
        <v>525</v>
      </c>
      <c r="K27" s="8">
        <f t="shared" si="4"/>
        <v>6</v>
      </c>
      <c r="L27" s="8" t="str">
        <f t="shared" si="1"/>
        <v/>
      </c>
      <c r="M27" s="8">
        <f t="shared" ref="M27:N27" si="25">IF(G27="x",0,"")</f>
        <v>0</v>
      </c>
      <c r="N27" s="8" t="str">
        <f t="shared" si="25"/>
        <v/>
      </c>
      <c r="O27" s="9"/>
      <c r="P27" s="9" t="s">
        <v>532</v>
      </c>
    </row>
    <row r="28" spans="1:16" ht="12.75" customHeight="1">
      <c r="A28" s="2">
        <v>25</v>
      </c>
      <c r="B28" s="309" t="s">
        <v>61</v>
      </c>
      <c r="C28" s="309"/>
      <c r="D28" s="2" t="s">
        <v>522</v>
      </c>
      <c r="E28" s="2" t="s">
        <v>522</v>
      </c>
      <c r="F28" s="2" t="s">
        <v>522</v>
      </c>
      <c r="G28" s="2" t="s">
        <v>522</v>
      </c>
      <c r="H28" s="2" t="s">
        <v>522</v>
      </c>
      <c r="I28" s="309"/>
      <c r="J28" s="309">
        <v>6.5</v>
      </c>
      <c r="K28" s="8">
        <f t="shared" si="4"/>
        <v>2</v>
      </c>
      <c r="L28" s="8">
        <f t="shared" si="1"/>
        <v>1</v>
      </c>
      <c r="M28" s="8">
        <f t="shared" ref="M28:N28" si="26">IF(G28="x",0,"")</f>
        <v>0</v>
      </c>
      <c r="N28" s="8">
        <f t="shared" si="26"/>
        <v>0</v>
      </c>
      <c r="O28" s="9"/>
      <c r="P28" s="9" t="s">
        <v>81</v>
      </c>
    </row>
    <row r="29" spans="1:16" ht="12.75" customHeight="1">
      <c r="A29" s="2">
        <v>26</v>
      </c>
      <c r="B29" s="309" t="s">
        <v>61</v>
      </c>
      <c r="C29" s="309" t="s">
        <v>534</v>
      </c>
      <c r="D29" s="2" t="s">
        <v>522</v>
      </c>
      <c r="E29" s="2" t="s">
        <v>522</v>
      </c>
      <c r="F29" s="2"/>
      <c r="G29" s="2" t="s">
        <v>522</v>
      </c>
      <c r="H29" s="2" t="s">
        <v>522</v>
      </c>
      <c r="I29" s="309"/>
      <c r="J29" s="309">
        <v>6.5</v>
      </c>
      <c r="K29" s="8">
        <f t="shared" si="4"/>
        <v>2</v>
      </c>
      <c r="L29" s="8" t="str">
        <f t="shared" si="1"/>
        <v/>
      </c>
      <c r="M29" s="8">
        <f t="shared" ref="M29:N29" si="27">IF(G29="x",0,"")</f>
        <v>0</v>
      </c>
      <c r="N29" s="8">
        <f t="shared" si="27"/>
        <v>0</v>
      </c>
      <c r="O29" s="9"/>
      <c r="P29" s="9" t="s">
        <v>524</v>
      </c>
    </row>
    <row r="30" spans="1:16" ht="12.75" customHeight="1">
      <c r="A30" s="2">
        <v>27</v>
      </c>
      <c r="B30" s="309" t="s">
        <v>61</v>
      </c>
      <c r="C30" s="309"/>
      <c r="D30" s="2"/>
      <c r="E30" s="2" t="s">
        <v>522</v>
      </c>
      <c r="F30" s="2" t="s">
        <v>522</v>
      </c>
      <c r="G30" s="2" t="s">
        <v>522</v>
      </c>
      <c r="H30" s="2" t="s">
        <v>522</v>
      </c>
      <c r="I30" s="309"/>
      <c r="J30" s="309" t="s">
        <v>525</v>
      </c>
      <c r="K30" s="8">
        <f t="shared" si="4"/>
        <v>2</v>
      </c>
      <c r="L30" s="8">
        <f t="shared" si="1"/>
        <v>1</v>
      </c>
      <c r="M30" s="8">
        <f t="shared" ref="M30:N30" si="28">IF(G30="x",0,"")</f>
        <v>0</v>
      </c>
      <c r="N30" s="8">
        <f t="shared" si="28"/>
        <v>0</v>
      </c>
      <c r="O30" s="9"/>
      <c r="P30" s="9" t="s">
        <v>526</v>
      </c>
    </row>
    <row r="31" spans="1:16" ht="12.75" customHeight="1">
      <c r="A31" s="2">
        <v>28</v>
      </c>
      <c r="B31" s="309" t="s">
        <v>61</v>
      </c>
      <c r="C31" s="309" t="s">
        <v>183</v>
      </c>
      <c r="D31" s="2"/>
      <c r="E31" s="2" t="s">
        <v>522</v>
      </c>
      <c r="F31" s="2"/>
      <c r="G31" s="2" t="s">
        <v>522</v>
      </c>
      <c r="H31" s="2" t="s">
        <v>522</v>
      </c>
      <c r="I31" s="309"/>
      <c r="J31" s="309" t="s">
        <v>525</v>
      </c>
      <c r="K31" s="8">
        <f t="shared" si="4"/>
        <v>2</v>
      </c>
      <c r="L31" s="8" t="str">
        <f t="shared" si="1"/>
        <v/>
      </c>
      <c r="M31" s="8">
        <f t="shared" ref="M31:N31" si="29">IF(G31="x",0,"")</f>
        <v>0</v>
      </c>
      <c r="N31" s="8">
        <f t="shared" si="29"/>
        <v>0</v>
      </c>
      <c r="O31" s="9"/>
      <c r="P31" s="9" t="s">
        <v>527</v>
      </c>
    </row>
    <row r="32" spans="1:16" ht="12.75" customHeight="1">
      <c r="A32" s="2">
        <v>29</v>
      </c>
      <c r="B32" s="309" t="s">
        <v>61</v>
      </c>
      <c r="C32" s="309"/>
      <c r="D32" s="2" t="s">
        <v>522</v>
      </c>
      <c r="E32" s="2" t="s">
        <v>522</v>
      </c>
      <c r="F32" s="2" t="s">
        <v>522</v>
      </c>
      <c r="G32" s="2" t="s">
        <v>522</v>
      </c>
      <c r="H32" s="309"/>
      <c r="I32" s="309"/>
      <c r="J32" s="309">
        <v>6.5</v>
      </c>
      <c r="K32" s="8">
        <f t="shared" si="4"/>
        <v>2</v>
      </c>
      <c r="L32" s="8">
        <f t="shared" si="1"/>
        <v>1</v>
      </c>
      <c r="M32" s="8">
        <f t="shared" ref="M32:N32" si="30">IF(G32="x",0,"")</f>
        <v>0</v>
      </c>
      <c r="N32" s="8" t="str">
        <f t="shared" si="30"/>
        <v/>
      </c>
      <c r="O32" s="9"/>
      <c r="P32" s="9" t="s">
        <v>528</v>
      </c>
    </row>
    <row r="33" spans="1:16" ht="12.75" customHeight="1">
      <c r="A33" s="2">
        <v>30</v>
      </c>
      <c r="B33" s="309" t="s">
        <v>61</v>
      </c>
      <c r="C33" s="309" t="s">
        <v>535</v>
      </c>
      <c r="D33" s="2" t="s">
        <v>522</v>
      </c>
      <c r="E33" s="2" t="s">
        <v>522</v>
      </c>
      <c r="F33" s="2"/>
      <c r="G33" s="2" t="s">
        <v>522</v>
      </c>
      <c r="H33" s="2"/>
      <c r="I33" s="309"/>
      <c r="J33" s="309">
        <v>6.5</v>
      </c>
      <c r="K33" s="8">
        <f t="shared" si="4"/>
        <v>2</v>
      </c>
      <c r="L33" s="8" t="str">
        <f t="shared" si="1"/>
        <v/>
      </c>
      <c r="M33" s="8">
        <f t="shared" ref="M33:N33" si="31">IF(G33="x",0,"")</f>
        <v>0</v>
      </c>
      <c r="N33" s="8" t="str">
        <f t="shared" si="31"/>
        <v/>
      </c>
      <c r="O33" s="9"/>
      <c r="P33" s="9" t="s">
        <v>530</v>
      </c>
    </row>
    <row r="34" spans="1:16" ht="12.75" customHeight="1">
      <c r="A34" s="2">
        <v>31</v>
      </c>
      <c r="B34" s="309" t="s">
        <v>61</v>
      </c>
      <c r="C34" s="309"/>
      <c r="D34" s="2"/>
      <c r="E34" s="2" t="s">
        <v>522</v>
      </c>
      <c r="F34" s="2" t="s">
        <v>522</v>
      </c>
      <c r="G34" s="2" t="s">
        <v>522</v>
      </c>
      <c r="H34" s="309"/>
      <c r="I34" s="309"/>
      <c r="J34" s="309" t="s">
        <v>525</v>
      </c>
      <c r="K34" s="8">
        <f t="shared" si="4"/>
        <v>2</v>
      </c>
      <c r="L34" s="8">
        <f t="shared" si="1"/>
        <v>1</v>
      </c>
      <c r="M34" s="8">
        <f t="shared" ref="M34:N34" si="32">IF(G34="x",0,"")</f>
        <v>0</v>
      </c>
      <c r="N34" s="8" t="str">
        <f t="shared" si="32"/>
        <v/>
      </c>
      <c r="O34" s="9"/>
      <c r="P34" s="9" t="s">
        <v>531</v>
      </c>
    </row>
    <row r="35" spans="1:16" ht="12.75" customHeight="1">
      <c r="A35" s="2">
        <v>32</v>
      </c>
      <c r="B35" s="309" t="s">
        <v>61</v>
      </c>
      <c r="C35" s="309" t="s">
        <v>536</v>
      </c>
      <c r="D35" s="2"/>
      <c r="E35" s="2" t="s">
        <v>522</v>
      </c>
      <c r="F35" s="2"/>
      <c r="G35" s="2" t="s">
        <v>522</v>
      </c>
      <c r="H35" s="309"/>
      <c r="I35" s="309"/>
      <c r="J35" s="309" t="s">
        <v>525</v>
      </c>
      <c r="K35" s="8">
        <f t="shared" si="4"/>
        <v>2</v>
      </c>
      <c r="L35" s="8" t="str">
        <f t="shared" si="1"/>
        <v/>
      </c>
      <c r="M35" s="8">
        <f t="shared" ref="M35:N35" si="33">IF(G35="x",0,"")</f>
        <v>0</v>
      </c>
      <c r="N35" s="8" t="str">
        <f t="shared" si="33"/>
        <v/>
      </c>
      <c r="O35" s="9"/>
      <c r="P35" s="9" t="s">
        <v>532</v>
      </c>
    </row>
    <row r="36" spans="1:16" ht="12.75" customHeight="1">
      <c r="A36" s="2">
        <v>33</v>
      </c>
      <c r="B36" s="309" t="s">
        <v>62</v>
      </c>
      <c r="C36" s="309" t="s">
        <v>537</v>
      </c>
      <c r="D36" s="2"/>
      <c r="E36" s="2" t="s">
        <v>522</v>
      </c>
      <c r="F36" s="2"/>
      <c r="G36" s="2" t="s">
        <v>522</v>
      </c>
      <c r="H36" s="2" t="s">
        <v>522</v>
      </c>
      <c r="I36" s="309"/>
      <c r="J36" s="309" t="s">
        <v>525</v>
      </c>
      <c r="K36" s="8">
        <f t="shared" si="4"/>
        <v>0</v>
      </c>
      <c r="L36" s="8" t="str">
        <f t="shared" si="1"/>
        <v/>
      </c>
      <c r="M36" s="8">
        <f t="shared" ref="M36:N36" si="34">IF(G36="x",0,"")</f>
        <v>0</v>
      </c>
      <c r="N36" s="8">
        <f t="shared" si="34"/>
        <v>0</v>
      </c>
      <c r="O36" s="9"/>
      <c r="P36" s="9" t="s">
        <v>527</v>
      </c>
    </row>
    <row r="37" spans="1:16" ht="12.75" customHeight="1">
      <c r="A37" s="2">
        <v>34</v>
      </c>
      <c r="B37" s="309" t="s">
        <v>62</v>
      </c>
      <c r="C37" s="309" t="s">
        <v>538</v>
      </c>
      <c r="D37" s="2"/>
      <c r="E37" s="2" t="s">
        <v>522</v>
      </c>
      <c r="F37" s="2"/>
      <c r="G37" s="2" t="s">
        <v>522</v>
      </c>
      <c r="H37" s="2"/>
      <c r="I37" s="309"/>
      <c r="J37" s="309" t="s">
        <v>525</v>
      </c>
      <c r="K37" s="8">
        <f t="shared" si="4"/>
        <v>0</v>
      </c>
      <c r="L37" s="8" t="str">
        <f t="shared" si="1"/>
        <v/>
      </c>
      <c r="M37" s="8">
        <f t="shared" ref="M37:N37" si="35">IF(G37="x",0,"")</f>
        <v>0</v>
      </c>
      <c r="N37" s="8" t="str">
        <f t="shared" si="35"/>
        <v/>
      </c>
      <c r="O37" s="9"/>
      <c r="P37" s="9" t="s">
        <v>532</v>
      </c>
    </row>
    <row r="38" spans="1:16" ht="12.75" customHeight="1">
      <c r="A38" s="2">
        <v>35</v>
      </c>
      <c r="B38" s="309" t="s">
        <v>64</v>
      </c>
      <c r="C38" s="309" t="s">
        <v>539</v>
      </c>
      <c r="D38" s="309"/>
      <c r="E38" s="2" t="s">
        <v>522</v>
      </c>
      <c r="F38" s="309"/>
      <c r="G38" s="2" t="s">
        <v>522</v>
      </c>
      <c r="H38" s="309"/>
      <c r="I38" s="309"/>
      <c r="J38" s="309" t="s">
        <v>525</v>
      </c>
      <c r="K38" s="8" t="str">
        <f t="shared" si="4"/>
        <v>Zero</v>
      </c>
      <c r="L38" s="8" t="str">
        <f t="shared" si="1"/>
        <v/>
      </c>
      <c r="M38" s="8">
        <f t="shared" ref="M38:N38" si="36">IF(G38="x",0,"")</f>
        <v>0</v>
      </c>
      <c r="N38" s="8" t="str">
        <f t="shared" si="36"/>
        <v/>
      </c>
      <c r="O38" s="9"/>
      <c r="P38" s="9" t="s">
        <v>540</v>
      </c>
    </row>
    <row r="39" spans="1:16" ht="12.75" customHeight="1">
      <c r="A39" s="2">
        <v>36</v>
      </c>
      <c r="B39" s="309" t="s">
        <v>541</v>
      </c>
      <c r="C39" s="309" t="s">
        <v>542</v>
      </c>
      <c r="D39" s="309"/>
      <c r="E39" s="2"/>
      <c r="F39" s="309"/>
      <c r="G39" s="2"/>
      <c r="H39" s="309"/>
      <c r="I39" s="309"/>
      <c r="J39" s="309" t="s">
        <v>525</v>
      </c>
      <c r="K39" s="8">
        <f t="shared" si="4"/>
        <v>0</v>
      </c>
      <c r="L39" s="8" t="str">
        <f t="shared" si="1"/>
        <v/>
      </c>
      <c r="M39" s="8" t="str">
        <f t="shared" ref="M39:N39" si="37">IF(G39="x",0,"")</f>
        <v/>
      </c>
      <c r="N39" s="8" t="str">
        <f t="shared" si="37"/>
        <v/>
      </c>
      <c r="O39" s="9"/>
      <c r="P39" s="9" t="s">
        <v>532</v>
      </c>
    </row>
    <row r="40" spans="1:16" ht="12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2.75" customHeight="1">
      <c r="A41" s="4" t="s">
        <v>58</v>
      </c>
      <c r="B41" s="5">
        <f>VLOOKUP(A41,Priorityvalue,2,0)</f>
        <v>20</v>
      </c>
      <c r="C41" s="5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</row>
    <row r="42" spans="1:16" ht="12.75" customHeight="1">
      <c r="A42" s="4" t="s">
        <v>59</v>
      </c>
      <c r="B42" s="5">
        <f>VLOOKUP(A42,Priorityvalue,2,0)</f>
        <v>10</v>
      </c>
      <c r="C42" s="5"/>
      <c r="D42" s="309"/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09"/>
      <c r="P42" s="309"/>
    </row>
    <row r="43" spans="1:16" ht="12.75" customHeight="1">
      <c r="A43" s="4" t="s">
        <v>60</v>
      </c>
      <c r="B43" s="5">
        <f>VLOOKUP(A43,Priorityvalue,2,0)</f>
        <v>6</v>
      </c>
      <c r="C43" s="5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</row>
    <row r="44" spans="1:16" ht="12.75" customHeight="1">
      <c r="A44" s="4" t="s">
        <v>61</v>
      </c>
      <c r="B44" s="5">
        <f>VLOOKUP(A44,Priorityvalue,2,0)</f>
        <v>2</v>
      </c>
      <c r="C44" s="5"/>
      <c r="D44" s="309"/>
      <c r="E44" s="309"/>
      <c r="F44" s="309"/>
      <c r="G44" s="309"/>
      <c r="H44" s="309"/>
      <c r="I44" s="309"/>
      <c r="J44" s="309"/>
      <c r="K44" s="309"/>
      <c r="L44" s="309"/>
      <c r="M44" s="309"/>
      <c r="N44" s="309"/>
      <c r="O44" s="309"/>
      <c r="P44" s="309"/>
    </row>
    <row r="45" spans="1:16" ht="12.75" customHeight="1">
      <c r="A45" s="4" t="s">
        <v>62</v>
      </c>
      <c r="B45" s="5">
        <v>0</v>
      </c>
      <c r="C45" s="5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</row>
    <row r="46" spans="1:16" ht="12.75" customHeight="1">
      <c r="A46" s="4" t="s">
        <v>64</v>
      </c>
      <c r="B46" s="5" t="s">
        <v>64</v>
      </c>
      <c r="C46" s="5"/>
      <c r="D46" s="309"/>
      <c r="E46" s="309"/>
      <c r="F46" s="309"/>
      <c r="G46" s="309"/>
      <c r="H46" s="309"/>
      <c r="I46" s="309"/>
      <c r="J46" s="309"/>
      <c r="K46" s="309"/>
      <c r="L46" s="309"/>
      <c r="M46" s="309"/>
      <c r="N46" s="309"/>
      <c r="O46" s="309"/>
      <c r="P46" s="309"/>
    </row>
    <row r="47" spans="1:16" ht="12.75" customHeight="1">
      <c r="A47" s="4" t="s">
        <v>541</v>
      </c>
      <c r="B47" s="5">
        <v>0</v>
      </c>
      <c r="C47" s="5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</row>
    <row r="48" spans="1:16" ht="12.75" customHeight="1">
      <c r="A48" s="309"/>
      <c r="B48" s="5"/>
      <c r="C48" s="5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</row>
    <row r="49" spans="1:3" ht="12.75" customHeight="1">
      <c r="A49" s="6" t="s">
        <v>67</v>
      </c>
      <c r="B49" s="5">
        <f>VLOOKUP(A49,Priorityvalue,2,0)</f>
        <v>4.5</v>
      </c>
      <c r="C49" s="5"/>
    </row>
    <row r="50" spans="1:3" ht="12.75" customHeight="1">
      <c r="A50" s="309"/>
      <c r="B50" s="309"/>
      <c r="C50" s="309"/>
    </row>
    <row r="51" spans="1:3" ht="12.75" customHeight="1">
      <c r="A51" s="309"/>
      <c r="B51" s="309"/>
      <c r="C51" s="309"/>
    </row>
    <row r="52" spans="1:3" ht="12.75" customHeight="1">
      <c r="A52" s="309"/>
      <c r="B52" s="309"/>
      <c r="C52" s="309"/>
    </row>
    <row r="53" spans="1:3" ht="12.75" customHeight="1">
      <c r="A53" s="309"/>
      <c r="B53" s="309"/>
      <c r="C53" s="309"/>
    </row>
    <row r="54" spans="1:3" ht="12.75" customHeight="1">
      <c r="A54" s="309"/>
      <c r="B54" s="309"/>
      <c r="C54" s="309"/>
    </row>
    <row r="55" spans="1:3" ht="12.75" customHeight="1">
      <c r="A55" s="309"/>
      <c r="B55" s="309"/>
      <c r="C55" s="309"/>
    </row>
    <row r="56" spans="1:3" ht="12.75" customHeight="1">
      <c r="A56" s="309"/>
      <c r="B56" s="309"/>
      <c r="C56" s="309"/>
    </row>
    <row r="57" spans="1:3" ht="12.75" customHeight="1">
      <c r="A57" s="309"/>
      <c r="B57" s="309"/>
      <c r="C57" s="309"/>
    </row>
    <row r="58" spans="1:3" ht="12.75" customHeight="1">
      <c r="A58" s="309"/>
      <c r="B58" s="309"/>
      <c r="C58" s="309"/>
    </row>
    <row r="59" spans="1:3" ht="12.75" customHeight="1">
      <c r="A59" s="309"/>
      <c r="B59" s="309"/>
      <c r="C59" s="309"/>
    </row>
    <row r="60" spans="1:3" ht="12.75" customHeight="1">
      <c r="A60" s="309"/>
      <c r="B60" s="309"/>
      <c r="C60" s="309"/>
    </row>
    <row r="61" spans="1:3" ht="12.75" customHeight="1">
      <c r="A61" s="309"/>
      <c r="B61" s="309"/>
      <c r="C61" s="309"/>
    </row>
    <row r="62" spans="1:3" ht="12.75" customHeight="1">
      <c r="A62" s="309"/>
      <c r="B62" s="309"/>
      <c r="C62" s="309"/>
    </row>
    <row r="63" spans="1:3" ht="12.75" customHeight="1">
      <c r="A63" s="309"/>
      <c r="B63" s="309"/>
      <c r="C63" s="309"/>
    </row>
    <row r="64" spans="1:3" ht="12.75" customHeight="1">
      <c r="A64" s="309"/>
      <c r="B64" s="309"/>
      <c r="C64" s="309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P39" xr:uid="{00000000-0009-0000-0000-000010000000}"/>
  <mergeCells count="2">
    <mergeCell ref="D2:H2"/>
    <mergeCell ref="J2:N2"/>
  </mergeCells>
  <pageMargins left="0.75" right="0.75" top="1" bottom="1" header="0" footer="0"/>
  <pageSetup scale="7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2D5D18BE6653245B35CB5EBDB299400" ma:contentTypeVersion="2" ma:contentTypeDescription="Kurkite naują dokumentą." ma:contentTypeScope="" ma:versionID="ffd2e12fdc708eb8ea6bd13965c33de1">
  <xsd:schema xmlns:xsd="http://www.w3.org/2001/XMLSchema" xmlns:xs="http://www.w3.org/2001/XMLSchema" xmlns:p="http://schemas.microsoft.com/office/2006/metadata/properties" xmlns:ns2="b587fc91-a91b-4083-a125-2a39ee6abb8a" targetNamespace="http://schemas.microsoft.com/office/2006/metadata/properties" ma:root="true" ma:fieldsID="862d77a00403de1b2d7a8aecb63f84c4" ns2:_="">
    <xsd:import namespace="b587fc91-a91b-4083-a125-2a39ee6ab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7fc91-a91b-4083-a125-2a39ee6abb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56EC8B-6075-40A3-BA94-854E346C3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87fc91-a91b-4083-a125-2a39ee6ab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0F785F-72E8-4F57-B728-A3A20D92F6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58B878-0D79-4CBC-92F6-D1DFF62283B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43</vt:i4>
      </vt:variant>
    </vt:vector>
  </HeadingPairs>
  <TitlesOfParts>
    <vt:vector size="49" baseType="lpstr">
      <vt:lpstr>Sheet1</vt:lpstr>
      <vt:lpstr>atsakymai</vt:lpstr>
      <vt:lpstr>FBOFF</vt:lpstr>
      <vt:lpstr>Form</vt:lpstr>
      <vt:lpstr>Param</vt:lpstr>
      <vt:lpstr>AnsDef</vt:lpstr>
      <vt:lpstr>anscode</vt:lpstr>
      <vt:lpstr>AnsDef</vt:lpstr>
      <vt:lpstr>AnsTypecd</vt:lpstr>
      <vt:lpstr>answer</vt:lpstr>
      <vt:lpstr>DSAHeight</vt:lpstr>
      <vt:lpstr>DSBHeight</vt:lpstr>
      <vt:lpstr>EvCount</vt:lpstr>
      <vt:lpstr>FELabel</vt:lpstr>
      <vt:lpstr>FELoc</vt:lpstr>
      <vt:lpstr>formblock</vt:lpstr>
      <vt:lpstr>FormNm</vt:lpstr>
      <vt:lpstr>FormType</vt:lpstr>
      <vt:lpstr>FormVer</vt:lpstr>
      <vt:lpstr>MonCd</vt:lpstr>
      <vt:lpstr>MultiYear</vt:lpstr>
      <vt:lpstr>MultiMonth</vt:lpstr>
      <vt:lpstr>ObsNum</vt:lpstr>
      <vt:lpstr>Priorityvalue</vt:lpstr>
      <vt:lpstr>respA</vt:lpstr>
      <vt:lpstr>respB</vt:lpstr>
      <vt:lpstr>respC</vt:lpstr>
      <vt:lpstr>respD</vt:lpstr>
      <vt:lpstr>respE</vt:lpstr>
      <vt:lpstr>respF</vt:lpstr>
      <vt:lpstr>respG</vt:lpstr>
      <vt:lpstr>respH</vt:lpstr>
      <vt:lpstr>RespList</vt:lpstr>
      <vt:lpstr>SctNm01</vt:lpstr>
      <vt:lpstr>SctNm02</vt:lpstr>
      <vt:lpstr>SctNm03</vt:lpstr>
      <vt:lpstr>SctNm04</vt:lpstr>
      <vt:lpstr>SctNm05</vt:lpstr>
      <vt:lpstr>SctNm06</vt:lpstr>
      <vt:lpstr>SctNm07</vt:lpstr>
      <vt:lpstr>SctNm08</vt:lpstr>
      <vt:lpstr>SctNm09</vt:lpstr>
      <vt:lpstr>SctNm10</vt:lpstr>
      <vt:lpstr>Sec01Tag</vt:lpstr>
      <vt:lpstr>Sec02Tag</vt:lpstr>
      <vt:lpstr>Sec03Tag</vt:lpstr>
      <vt:lpstr>Sec04Tag</vt:lpstr>
      <vt:lpstr>Sections</vt:lpstr>
      <vt:lpstr>SecWeight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Gusaraitė-Pakalnienė</dc:creator>
  <cp:keywords/>
  <dc:description/>
  <cp:lastModifiedBy>Erika Pakalniene</cp:lastModifiedBy>
  <cp:revision/>
  <dcterms:created xsi:type="dcterms:W3CDTF">2019-07-08T14:30:00Z</dcterms:created>
  <dcterms:modified xsi:type="dcterms:W3CDTF">2021-09-07T11:53:02Z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  <property fmtid="{D5CDD505-2E9C-101B-9397-08002B2CF9AE}" pid="3" name="ContentTypeId">
    <vt:lpwstr>0x01010042D5D18BE6653245B35CB5EBDB299400</vt:lpwstr>
  </property>
</Properties>
</file>