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vilvandenys-my.sharepoint.com/personal/greta_keriene_vv_lt/Documents/Desktop/DABAR VIEŠINU/"/>
    </mc:Choice>
  </mc:AlternateContent>
  <xr:revisionPtr revIDLastSave="6" documentId="8_{AEFA9934-7035-4ADE-819E-6BEEE696C8C6}" xr6:coauthVersionLast="47" xr6:coauthVersionMax="47" xr10:uidLastSave="{841D18CB-070B-4198-AC83-7A57F65D4D79}"/>
  <bookViews>
    <workbookView xWindow="-108" yWindow="-108" windowWidth="23256" windowHeight="12456" xr2:uid="{283F1102-55E4-48F3-931D-01057C2DDF6F}"/>
  </bookViews>
  <sheets>
    <sheet name="Aktas" sheetId="1" r:id="rId1"/>
    <sheet name="Suvestinis aktas" sheetId="2" r:id="rId2"/>
  </sheets>
  <externalReferences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7" i="1" l="1"/>
  <c r="F378" i="1" s="1"/>
  <c r="B363" i="1"/>
  <c r="F362" i="1"/>
  <c r="F361" i="1"/>
  <c r="F360" i="1"/>
  <c r="F359" i="1"/>
  <c r="E358" i="1" s="1"/>
  <c r="F358" i="1" s="1"/>
  <c r="F357" i="1"/>
  <c r="B355" i="1"/>
  <c r="F354" i="1"/>
  <c r="F355" i="1" s="1"/>
  <c r="B352" i="1"/>
  <c r="F351" i="1"/>
  <c r="F350" i="1"/>
  <c r="F349" i="1"/>
  <c r="F348" i="1"/>
  <c r="F347" i="1"/>
  <c r="F346" i="1"/>
  <c r="F345" i="1"/>
  <c r="B343" i="1"/>
  <c r="F342" i="1"/>
  <c r="F341" i="1"/>
  <c r="F340" i="1"/>
  <c r="F339" i="1"/>
  <c r="F338" i="1"/>
  <c r="F337" i="1"/>
  <c r="F336" i="1"/>
  <c r="F335" i="1"/>
  <c r="F334" i="1"/>
  <c r="B332" i="1"/>
  <c r="F331" i="1"/>
  <c r="F330" i="1"/>
  <c r="F329" i="1"/>
  <c r="F363" i="1" l="1"/>
  <c r="F332" i="1"/>
  <c r="F343" i="1"/>
  <c r="F352" i="1"/>
  <c r="S18" i="2"/>
  <c r="S19" i="2"/>
  <c r="S5" i="2"/>
  <c r="R10" i="2"/>
  <c r="R5" i="2"/>
  <c r="E70" i="1"/>
  <c r="E96" i="1"/>
  <c r="P5" i="2" l="1"/>
  <c r="O5" i="2" l="1"/>
  <c r="L5" i="2" l="1"/>
  <c r="F123" i="1" l="1"/>
  <c r="F285" i="1"/>
  <c r="F286" i="1"/>
  <c r="E122" i="1"/>
  <c r="S17" i="2" l="1"/>
  <c r="F292" i="1"/>
  <c r="F291" i="1"/>
  <c r="K5" i="2"/>
  <c r="E94" i="1" l="1"/>
  <c r="E95" i="1"/>
  <c r="E68" i="1"/>
  <c r="E69" i="1"/>
  <c r="F95" i="1" l="1"/>
  <c r="E42" i="1"/>
  <c r="E43" i="1"/>
  <c r="E249" i="1" l="1"/>
  <c r="E32" i="1"/>
  <c r="E197" i="1"/>
  <c r="E28" i="1"/>
  <c r="E12" i="1"/>
  <c r="E404" i="1"/>
  <c r="E403" i="1"/>
  <c r="E26" i="1"/>
  <c r="E196" i="1"/>
  <c r="E46" i="1"/>
  <c r="E326" i="1"/>
  <c r="E325" i="1"/>
  <c r="E324" i="1"/>
  <c r="E322" i="1"/>
  <c r="E319" i="1"/>
  <c r="E318" i="1"/>
  <c r="E317" i="1"/>
  <c r="E316" i="1"/>
  <c r="E315" i="1"/>
  <c r="E314" i="1"/>
  <c r="E312" i="1"/>
  <c r="E311" i="1"/>
  <c r="E309" i="1"/>
  <c r="E308" i="1"/>
  <c r="E305" i="1"/>
  <c r="E298" i="1"/>
  <c r="E297" i="1"/>
  <c r="E296" i="1"/>
  <c r="E295" i="1"/>
  <c r="E294" i="1"/>
  <c r="E279" i="1"/>
  <c r="E278" i="1"/>
  <c r="E277" i="1"/>
  <c r="E275" i="1"/>
  <c r="E274" i="1"/>
  <c r="E273" i="1"/>
  <c r="E272" i="1"/>
  <c r="E271" i="1"/>
  <c r="E270" i="1"/>
  <c r="E268" i="1"/>
  <c r="E267" i="1"/>
  <c r="E266" i="1"/>
  <c r="E265" i="1"/>
  <c r="E264" i="1"/>
  <c r="E262" i="1"/>
  <c r="E261" i="1"/>
  <c r="E260" i="1"/>
  <c r="E258" i="1"/>
  <c r="E257" i="1"/>
  <c r="E256" i="1"/>
  <c r="E255" i="1"/>
  <c r="E254" i="1"/>
  <c r="E250" i="1"/>
  <c r="E248" i="1"/>
  <c r="E246" i="1"/>
  <c r="E245" i="1"/>
  <c r="E244" i="1"/>
  <c r="E243" i="1"/>
  <c r="E242" i="1"/>
  <c r="E240" i="1"/>
  <c r="E239" i="1"/>
  <c r="E238" i="1"/>
  <c r="E237" i="1"/>
  <c r="E236" i="1"/>
  <c r="E234" i="1"/>
  <c r="E233" i="1"/>
  <c r="E231" i="1"/>
  <c r="E230" i="1"/>
  <c r="E229" i="1"/>
  <c r="E228" i="1"/>
  <c r="E227" i="1"/>
  <c r="E225" i="1"/>
  <c r="E224" i="1"/>
  <c r="E223" i="1"/>
  <c r="E222" i="1"/>
  <c r="E221" i="1"/>
  <c r="E219" i="1"/>
  <c r="E218" i="1"/>
  <c r="E217" i="1"/>
  <c r="E216" i="1"/>
  <c r="E215" i="1"/>
  <c r="E211" i="1"/>
  <c r="E210" i="1"/>
  <c r="E208" i="1"/>
  <c r="E207" i="1"/>
  <c r="E206" i="1"/>
  <c r="E205" i="1"/>
  <c r="E203" i="1"/>
  <c r="E202" i="1"/>
  <c r="E201" i="1"/>
  <c r="E200" i="1"/>
  <c r="E198" i="1"/>
  <c r="E194" i="1"/>
  <c r="E193" i="1"/>
  <c r="E192" i="1"/>
  <c r="E188" i="1"/>
  <c r="E187" i="1"/>
  <c r="E185" i="1"/>
  <c r="E184" i="1"/>
  <c r="E183" i="1"/>
  <c r="E182" i="1"/>
  <c r="E180" i="1"/>
  <c r="E179" i="1"/>
  <c r="E178" i="1"/>
  <c r="E177" i="1"/>
  <c r="E175" i="1"/>
  <c r="E174" i="1"/>
  <c r="E173" i="1"/>
  <c r="E171" i="1"/>
  <c r="E170" i="1"/>
  <c r="E169" i="1"/>
  <c r="E165" i="1"/>
  <c r="E164" i="1"/>
  <c r="E162" i="1"/>
  <c r="E161" i="1"/>
  <c r="E160" i="1"/>
  <c r="E159" i="1"/>
  <c r="E157" i="1"/>
  <c r="E156" i="1"/>
  <c r="E155" i="1"/>
  <c r="E154" i="1"/>
  <c r="E152" i="1"/>
  <c r="E151" i="1"/>
  <c r="E150" i="1"/>
  <c r="E148" i="1"/>
  <c r="E147" i="1"/>
  <c r="E146" i="1"/>
  <c r="E142" i="1"/>
  <c r="E141" i="1"/>
  <c r="E140" i="1"/>
  <c r="E139" i="1"/>
  <c r="E138" i="1"/>
  <c r="E136" i="1"/>
  <c r="E135" i="1"/>
  <c r="E134" i="1"/>
  <c r="E133" i="1"/>
  <c r="E132" i="1"/>
  <c r="E131" i="1"/>
  <c r="E129" i="1"/>
  <c r="E128" i="1"/>
  <c r="E127" i="1"/>
  <c r="E126" i="1"/>
  <c r="E125" i="1"/>
  <c r="E121" i="1"/>
  <c r="E120" i="1"/>
  <c r="E119" i="1"/>
  <c r="E118" i="1"/>
  <c r="E114" i="1"/>
  <c r="E113" i="1"/>
  <c r="E112" i="1"/>
  <c r="E111" i="1"/>
  <c r="E110" i="1"/>
  <c r="E108" i="1"/>
  <c r="E107" i="1"/>
  <c r="E106" i="1"/>
  <c r="E105" i="1"/>
  <c r="E104" i="1"/>
  <c r="E102" i="1"/>
  <c r="E101" i="1"/>
  <c r="E100" i="1"/>
  <c r="E98" i="1"/>
  <c r="E93" i="1"/>
  <c r="E92" i="1"/>
  <c r="E88" i="1"/>
  <c r="E87" i="1"/>
  <c r="E86" i="1"/>
  <c r="E85" i="1"/>
  <c r="E84" i="1"/>
  <c r="E82" i="1"/>
  <c r="E81" i="1"/>
  <c r="E80" i="1"/>
  <c r="E79" i="1"/>
  <c r="E78" i="1"/>
  <c r="E76" i="1"/>
  <c r="E75" i="1"/>
  <c r="E74" i="1"/>
  <c r="E72" i="1"/>
  <c r="E67" i="1"/>
  <c r="E66" i="1"/>
  <c r="E62" i="1"/>
  <c r="E61" i="1"/>
  <c r="E60" i="1"/>
  <c r="E59" i="1"/>
  <c r="E58" i="1"/>
  <c r="E56" i="1"/>
  <c r="E55" i="1"/>
  <c r="E54" i="1"/>
  <c r="E53" i="1"/>
  <c r="E52" i="1"/>
  <c r="E50" i="1"/>
  <c r="E49" i="1"/>
  <c r="E48" i="1"/>
  <c r="E44" i="1"/>
  <c r="E41" i="1"/>
  <c r="E36" i="1"/>
  <c r="E35" i="1"/>
  <c r="E34" i="1"/>
  <c r="E30" i="1"/>
  <c r="E29" i="1"/>
  <c r="E27" i="1"/>
  <c r="E24" i="1"/>
  <c r="E23" i="1"/>
  <c r="E18" i="1"/>
  <c r="E17" i="1"/>
  <c r="E16" i="1"/>
  <c r="E15" i="1"/>
  <c r="E14" i="1"/>
  <c r="F11" i="1"/>
  <c r="E5" i="2"/>
  <c r="F32" i="1" l="1"/>
  <c r="F52" i="1"/>
  <c r="F40" i="1"/>
  <c r="E31" i="1" l="1"/>
  <c r="F31" i="1" s="1"/>
  <c r="S16" i="2"/>
  <c r="C21" i="2"/>
  <c r="E21" i="2" s="1"/>
  <c r="B327" i="1"/>
  <c r="F326" i="1"/>
  <c r="F325" i="1"/>
  <c r="F324" i="1"/>
  <c r="F322" i="1"/>
  <c r="B320" i="1"/>
  <c r="F319" i="1"/>
  <c r="F318" i="1"/>
  <c r="F317" i="1"/>
  <c r="F316" i="1"/>
  <c r="F315" i="1"/>
  <c r="F314" i="1"/>
  <c r="F312" i="1"/>
  <c r="F311" i="1"/>
  <c r="F309" i="1"/>
  <c r="F308" i="1"/>
  <c r="B306" i="1"/>
  <c r="F305" i="1"/>
  <c r="F304" i="1"/>
  <c r="F303" i="1"/>
  <c r="F302" i="1"/>
  <c r="F301" i="1"/>
  <c r="F300" i="1"/>
  <c r="F298" i="1"/>
  <c r="F297" i="1"/>
  <c r="F296" i="1"/>
  <c r="F295" i="1"/>
  <c r="F294" i="1"/>
  <c r="F290" i="1"/>
  <c r="F289" i="1"/>
  <c r="F288" i="1"/>
  <c r="F284" i="1"/>
  <c r="F283" i="1"/>
  <c r="B280" i="1"/>
  <c r="F279" i="1"/>
  <c r="F278" i="1"/>
  <c r="F277" i="1"/>
  <c r="F275" i="1"/>
  <c r="F274" i="1"/>
  <c r="F273" i="1"/>
  <c r="F272" i="1"/>
  <c r="F271" i="1"/>
  <c r="F270" i="1"/>
  <c r="F268" i="1"/>
  <c r="F267" i="1"/>
  <c r="F266" i="1"/>
  <c r="F265" i="1"/>
  <c r="F264" i="1"/>
  <c r="F262" i="1"/>
  <c r="F261" i="1"/>
  <c r="F260" i="1"/>
  <c r="F258" i="1"/>
  <c r="F257" i="1"/>
  <c r="F256" i="1"/>
  <c r="F255" i="1"/>
  <c r="F254" i="1"/>
  <c r="B251" i="1"/>
  <c r="F250" i="1"/>
  <c r="F249" i="1"/>
  <c r="F248" i="1"/>
  <c r="F246" i="1"/>
  <c r="F245" i="1"/>
  <c r="F244" i="1"/>
  <c r="F243" i="1"/>
  <c r="F242" i="1"/>
  <c r="F240" i="1"/>
  <c r="F239" i="1"/>
  <c r="F238" i="1"/>
  <c r="F237" i="1"/>
  <c r="F236" i="1"/>
  <c r="F234" i="1"/>
  <c r="F233" i="1"/>
  <c r="F231" i="1"/>
  <c r="F230" i="1"/>
  <c r="F229" i="1"/>
  <c r="F228" i="1"/>
  <c r="F227" i="1"/>
  <c r="F225" i="1"/>
  <c r="F224" i="1"/>
  <c r="F223" i="1"/>
  <c r="F222" i="1"/>
  <c r="F221" i="1"/>
  <c r="F219" i="1"/>
  <c r="F218" i="1"/>
  <c r="F217" i="1"/>
  <c r="F216" i="1"/>
  <c r="F215" i="1"/>
  <c r="B212" i="1"/>
  <c r="F211" i="1"/>
  <c r="F210" i="1"/>
  <c r="F208" i="1"/>
  <c r="F207" i="1"/>
  <c r="F206" i="1"/>
  <c r="F205" i="1"/>
  <c r="F203" i="1"/>
  <c r="F202" i="1"/>
  <c r="F201" i="1"/>
  <c r="F200" i="1"/>
  <c r="F198" i="1"/>
  <c r="F197" i="1"/>
  <c r="F196" i="1"/>
  <c r="F194" i="1"/>
  <c r="F193" i="1"/>
  <c r="F192" i="1"/>
  <c r="B189" i="1"/>
  <c r="F188" i="1"/>
  <c r="F187" i="1"/>
  <c r="F185" i="1"/>
  <c r="F184" i="1"/>
  <c r="F183" i="1"/>
  <c r="F182" i="1"/>
  <c r="F180" i="1"/>
  <c r="F179" i="1"/>
  <c r="F178" i="1"/>
  <c r="F177" i="1"/>
  <c r="F175" i="1"/>
  <c r="F174" i="1"/>
  <c r="F173" i="1"/>
  <c r="F171" i="1"/>
  <c r="F170" i="1"/>
  <c r="F169" i="1"/>
  <c r="B166" i="1"/>
  <c r="F165" i="1"/>
  <c r="F164" i="1"/>
  <c r="F162" i="1"/>
  <c r="F161" i="1"/>
  <c r="F160" i="1"/>
  <c r="F159" i="1"/>
  <c r="F157" i="1"/>
  <c r="F156" i="1"/>
  <c r="F155" i="1"/>
  <c r="F154" i="1"/>
  <c r="F152" i="1"/>
  <c r="F151" i="1"/>
  <c r="F150" i="1"/>
  <c r="F148" i="1"/>
  <c r="F147" i="1"/>
  <c r="F146" i="1"/>
  <c r="B143" i="1"/>
  <c r="F142" i="1"/>
  <c r="F141" i="1"/>
  <c r="F140" i="1"/>
  <c r="F139" i="1"/>
  <c r="F138" i="1"/>
  <c r="F136" i="1"/>
  <c r="F135" i="1"/>
  <c r="F134" i="1"/>
  <c r="F133" i="1"/>
  <c r="F132" i="1"/>
  <c r="F131" i="1"/>
  <c r="F129" i="1"/>
  <c r="F128" i="1"/>
  <c r="F127" i="1"/>
  <c r="F126" i="1"/>
  <c r="F125" i="1"/>
  <c r="F122" i="1"/>
  <c r="F121" i="1"/>
  <c r="F120" i="1"/>
  <c r="F119" i="1"/>
  <c r="F118" i="1"/>
  <c r="B115" i="1"/>
  <c r="F114" i="1"/>
  <c r="F113" i="1"/>
  <c r="F112" i="1"/>
  <c r="F111" i="1"/>
  <c r="F110" i="1"/>
  <c r="F108" i="1"/>
  <c r="F107" i="1"/>
  <c r="F106" i="1"/>
  <c r="F105" i="1"/>
  <c r="F104" i="1"/>
  <c r="F102" i="1"/>
  <c r="F101" i="1"/>
  <c r="F100" i="1"/>
  <c r="F99" i="1"/>
  <c r="F98" i="1"/>
  <c r="F96" i="1"/>
  <c r="F94" i="1"/>
  <c r="F93" i="1"/>
  <c r="F92" i="1"/>
  <c r="B89" i="1"/>
  <c r="F88" i="1"/>
  <c r="F87" i="1"/>
  <c r="F86" i="1"/>
  <c r="F85" i="1"/>
  <c r="F84" i="1"/>
  <c r="F82" i="1"/>
  <c r="F81" i="1"/>
  <c r="F80" i="1"/>
  <c r="F79" i="1"/>
  <c r="F78" i="1"/>
  <c r="F76" i="1"/>
  <c r="F75" i="1"/>
  <c r="F74" i="1"/>
  <c r="F73" i="1"/>
  <c r="F72" i="1"/>
  <c r="F70" i="1"/>
  <c r="F69" i="1"/>
  <c r="F68" i="1"/>
  <c r="F67" i="1"/>
  <c r="F66" i="1"/>
  <c r="B63" i="1"/>
  <c r="F62" i="1"/>
  <c r="F61" i="1"/>
  <c r="F60" i="1"/>
  <c r="F59" i="1"/>
  <c r="F58" i="1"/>
  <c r="F56" i="1"/>
  <c r="F55" i="1"/>
  <c r="F54" i="1"/>
  <c r="F53" i="1"/>
  <c r="F50" i="1"/>
  <c r="F49" i="1"/>
  <c r="F48" i="1"/>
  <c r="F47" i="1"/>
  <c r="F46" i="1"/>
  <c r="F44" i="1"/>
  <c r="F43" i="1"/>
  <c r="F42" i="1"/>
  <c r="F41" i="1"/>
  <c r="B37" i="1"/>
  <c r="F36" i="1"/>
  <c r="F35" i="1"/>
  <c r="F34" i="1"/>
  <c r="B32" i="1"/>
  <c r="B31" i="1"/>
  <c r="F30" i="1"/>
  <c r="F29" i="1"/>
  <c r="F28" i="1"/>
  <c r="F27" i="1"/>
  <c r="F26" i="1"/>
  <c r="F24" i="1"/>
  <c r="F23" i="1"/>
  <c r="F22" i="1"/>
  <c r="F21" i="1"/>
  <c r="F20" i="1"/>
  <c r="F18" i="1"/>
  <c r="F17" i="1"/>
  <c r="F16" i="1"/>
  <c r="F15" i="1"/>
  <c r="F14" i="1"/>
  <c r="F12" i="1"/>
  <c r="S14" i="2" l="1"/>
  <c r="S11" i="2"/>
  <c r="S8" i="2"/>
  <c r="S9" i="2"/>
  <c r="R13" i="2"/>
  <c r="R16" i="2"/>
  <c r="S10" i="2"/>
  <c r="S7" i="2"/>
  <c r="S12" i="2"/>
  <c r="R7" i="2"/>
  <c r="R19" i="2"/>
  <c r="M18" i="2"/>
  <c r="R18" i="2"/>
  <c r="R8" i="2"/>
  <c r="R17" i="2"/>
  <c r="O19" i="2"/>
  <c r="E287" i="1"/>
  <c r="F287" i="1" s="1"/>
  <c r="E117" i="1"/>
  <c r="F117" i="1" s="1"/>
  <c r="E299" i="1"/>
  <c r="E282" i="1"/>
  <c r="F282" i="1" s="1"/>
  <c r="E13" i="1"/>
  <c r="E103" i="1"/>
  <c r="E51" i="1"/>
  <c r="E45" i="1"/>
  <c r="F45" i="1" s="1"/>
  <c r="P19" i="2"/>
  <c r="K19" i="2"/>
  <c r="N19" i="2"/>
  <c r="I19" i="2"/>
  <c r="L19" i="2"/>
  <c r="Q19" i="2"/>
  <c r="M19" i="2"/>
  <c r="J19" i="2"/>
  <c r="E247" i="1"/>
  <c r="E276" i="1"/>
  <c r="E204" i="1"/>
  <c r="E313" i="1"/>
  <c r="E149" i="1"/>
  <c r="E158" i="1"/>
  <c r="E137" i="1"/>
  <c r="E176" i="1"/>
  <c r="E83" i="1"/>
  <c r="E226" i="1"/>
  <c r="E168" i="1"/>
  <c r="E19" i="1"/>
  <c r="E25" i="1"/>
  <c r="E39" i="1"/>
  <c r="E33" i="1"/>
  <c r="E77" i="1"/>
  <c r="E57" i="1"/>
  <c r="E91" i="1"/>
  <c r="E181" i="1"/>
  <c r="E130" i="1"/>
  <c r="E163" i="1"/>
  <c r="E172" i="1"/>
  <c r="E269" i="1"/>
  <c r="E220" i="1"/>
  <c r="E232" i="1"/>
  <c r="E186" i="1"/>
  <c r="E191" i="1"/>
  <c r="E253" i="1"/>
  <c r="E293" i="1"/>
  <c r="E323" i="1"/>
  <c r="E71" i="1"/>
  <c r="E10" i="1"/>
  <c r="F10" i="1" s="1"/>
  <c r="E65" i="1"/>
  <c r="E97" i="1"/>
  <c r="E109" i="1"/>
  <c r="E124" i="1"/>
  <c r="E145" i="1"/>
  <c r="E153" i="1"/>
  <c r="E195" i="1"/>
  <c r="E199" i="1"/>
  <c r="E209" i="1"/>
  <c r="E214" i="1"/>
  <c r="E235" i="1"/>
  <c r="E241" i="1"/>
  <c r="E263" i="1"/>
  <c r="E259" i="1"/>
  <c r="E310" i="1"/>
  <c r="H17" i="2" l="1"/>
  <c r="J7" i="2"/>
  <c r="S15" i="2"/>
  <c r="S13" i="2"/>
  <c r="R15" i="2"/>
  <c r="R11" i="2"/>
  <c r="R12" i="2"/>
  <c r="R14" i="2"/>
  <c r="O7" i="2"/>
  <c r="Q8" i="2"/>
  <c r="M17" i="2"/>
  <c r="P13" i="2"/>
  <c r="Q16" i="2"/>
  <c r="Q18" i="2"/>
  <c r="M10" i="2"/>
  <c r="O12" i="2"/>
  <c r="Q15" i="2"/>
  <c r="P11" i="2"/>
  <c r="M9" i="2"/>
  <c r="O18" i="2"/>
  <c r="M8" i="2"/>
  <c r="O8" i="2"/>
  <c r="O14" i="2"/>
  <c r="O9" i="2"/>
  <c r="M11" i="2"/>
  <c r="O11" i="2"/>
  <c r="N14" i="2"/>
  <c r="N9" i="2"/>
  <c r="F71" i="1"/>
  <c r="F204" i="1"/>
  <c r="F39" i="1"/>
  <c r="F168" i="1"/>
  <c r="F259" i="1"/>
  <c r="F253" i="1"/>
  <c r="F310" i="1"/>
  <c r="F235" i="1"/>
  <c r="F199" i="1"/>
  <c r="F226" i="1"/>
  <c r="F176" i="1"/>
  <c r="F263" i="1"/>
  <c r="F130" i="1"/>
  <c r="F51" i="1"/>
  <c r="F195" i="1"/>
  <c r="F153" i="1"/>
  <c r="F220" i="1"/>
  <c r="F163" i="1"/>
  <c r="F91" i="1"/>
  <c r="F19" i="1"/>
  <c r="F83" i="1"/>
  <c r="F137" i="1"/>
  <c r="F313" i="1"/>
  <c r="F214" i="1"/>
  <c r="F145" i="1"/>
  <c r="F109" i="1"/>
  <c r="F191" i="1"/>
  <c r="F269" i="1"/>
  <c r="F247" i="1"/>
  <c r="F103" i="1"/>
  <c r="F13" i="1"/>
  <c r="F65" i="1"/>
  <c r="F97" i="1"/>
  <c r="F172" i="1"/>
  <c r="F124" i="1"/>
  <c r="F209" i="1"/>
  <c r="F323" i="1"/>
  <c r="F232" i="1"/>
  <c r="F181" i="1"/>
  <c r="F25" i="1"/>
  <c r="F158" i="1"/>
  <c r="F149" i="1"/>
  <c r="F186" i="1"/>
  <c r="F57" i="1"/>
  <c r="F77" i="1"/>
  <c r="F276" i="1"/>
  <c r="L18" i="2"/>
  <c r="P18" i="2"/>
  <c r="I18" i="2"/>
  <c r="F241" i="1"/>
  <c r="G12" i="2"/>
  <c r="J18" i="2"/>
  <c r="N18" i="2"/>
  <c r="F18" i="2"/>
  <c r="J13" i="2"/>
  <c r="K18" i="2"/>
  <c r="O13" i="2"/>
  <c r="L13" i="2"/>
  <c r="K13" i="2"/>
  <c r="N13" i="2"/>
  <c r="I13" i="2"/>
  <c r="H13" i="2"/>
  <c r="Q13" i="2"/>
  <c r="F13" i="2"/>
  <c r="L12" i="2"/>
  <c r="J12" i="2"/>
  <c r="M16" i="2"/>
  <c r="F16" i="2"/>
  <c r="K12" i="2"/>
  <c r="M12" i="2"/>
  <c r="I16" i="2"/>
  <c r="Q12" i="2"/>
  <c r="P16" i="2"/>
  <c r="N16" i="2"/>
  <c r="L16" i="2"/>
  <c r="P14" i="2"/>
  <c r="I12" i="2"/>
  <c r="P12" i="2"/>
  <c r="L14" i="2"/>
  <c r="K16" i="2"/>
  <c r="J14" i="2"/>
  <c r="Q14" i="2"/>
  <c r="H12" i="2"/>
  <c r="O16" i="2"/>
  <c r="K14" i="2"/>
  <c r="N12" i="2"/>
  <c r="F12" i="2"/>
  <c r="J16" i="2"/>
  <c r="F9" i="2"/>
  <c r="R9" i="2"/>
  <c r="Q9" i="2"/>
  <c r="J9" i="2"/>
  <c r="G9" i="2"/>
  <c r="H9" i="2"/>
  <c r="I9" i="2"/>
  <c r="K9" i="2"/>
  <c r="L9" i="2"/>
  <c r="P9" i="2"/>
  <c r="I10" i="2"/>
  <c r="N10" i="2"/>
  <c r="O15" i="2"/>
  <c r="J10" i="2"/>
  <c r="P10" i="2"/>
  <c r="O10" i="2"/>
  <c r="N15" i="2"/>
  <c r="M15" i="2"/>
  <c r="K10" i="2"/>
  <c r="L10" i="2"/>
  <c r="K15" i="2"/>
  <c r="H10" i="2"/>
  <c r="L15" i="2"/>
  <c r="F15" i="2"/>
  <c r="O17" i="2"/>
  <c r="I15" i="2"/>
  <c r="F10" i="2"/>
  <c r="J15" i="2"/>
  <c r="Q10" i="2"/>
  <c r="G10" i="2"/>
  <c r="P15" i="2"/>
  <c r="P17" i="2"/>
  <c r="I17" i="2"/>
  <c r="L17" i="2"/>
  <c r="K17" i="2"/>
  <c r="N8" i="2"/>
  <c r="J11" i="2"/>
  <c r="K11" i="2"/>
  <c r="J17" i="2"/>
  <c r="N17" i="2"/>
  <c r="F293" i="1"/>
  <c r="F299" i="1"/>
  <c r="Q11" i="2"/>
  <c r="L11" i="2"/>
  <c r="I11" i="2"/>
  <c r="K8" i="2"/>
  <c r="I14" i="2"/>
  <c r="H7" i="2"/>
  <c r="L8" i="2"/>
  <c r="P8" i="2"/>
  <c r="Q7" i="2"/>
  <c r="F33" i="1"/>
  <c r="N7" i="2"/>
  <c r="G7" i="2"/>
  <c r="M7" i="2"/>
  <c r="K7" i="2"/>
  <c r="F14" i="2"/>
  <c r="I8" i="2"/>
  <c r="F8" i="2"/>
  <c r="J8" i="2"/>
  <c r="G14" i="2"/>
  <c r="N11" i="2"/>
  <c r="H14" i="2"/>
  <c r="H11" i="2"/>
  <c r="H8" i="2"/>
  <c r="F11" i="2"/>
  <c r="I7" i="2" l="1"/>
  <c r="L7" i="2"/>
  <c r="P7" i="2"/>
  <c r="S22" i="2"/>
  <c r="S23" i="2" s="1"/>
  <c r="F63" i="1"/>
  <c r="C8" i="2" s="1"/>
  <c r="F89" i="1"/>
  <c r="C9" i="2" s="1"/>
  <c r="G17" i="2"/>
  <c r="F320" i="1"/>
  <c r="F327" i="1"/>
  <c r="C19" i="2" s="1"/>
  <c r="F189" i="1"/>
  <c r="C13" i="2" s="1"/>
  <c r="F212" i="1"/>
  <c r="C14" i="2" s="1"/>
  <c r="F166" i="1"/>
  <c r="C12" i="2" s="1"/>
  <c r="F143" i="1"/>
  <c r="F115" i="1"/>
  <c r="C10" i="2" s="1"/>
  <c r="F280" i="1"/>
  <c r="C16" i="2" s="1"/>
  <c r="M13" i="2"/>
  <c r="E12" i="2"/>
  <c r="D10" i="2"/>
  <c r="F251" i="1"/>
  <c r="F37" i="1"/>
  <c r="C7" i="2" s="1"/>
  <c r="G8" i="2"/>
  <c r="L22" i="2"/>
  <c r="L23" i="2" s="1"/>
  <c r="R22" i="2"/>
  <c r="J22" i="2"/>
  <c r="J23" i="2" s="1"/>
  <c r="I22" i="2"/>
  <c r="I23" i="2" s="1"/>
  <c r="G13" i="2"/>
  <c r="K22" i="2"/>
  <c r="K23" i="2" s="1"/>
  <c r="O22" i="2"/>
  <c r="H16" i="2"/>
  <c r="H15" i="2"/>
  <c r="E9" i="2"/>
  <c r="D9" i="2"/>
  <c r="F306" i="1"/>
  <c r="D8" i="2"/>
  <c r="E8" i="2"/>
  <c r="D12" i="2"/>
  <c r="E10" i="2"/>
  <c r="F365" i="1" l="1"/>
  <c r="C15" i="2"/>
  <c r="F380" i="1"/>
  <c r="F7" i="2"/>
  <c r="C18" i="2"/>
  <c r="C11" i="2"/>
  <c r="P20" i="2"/>
  <c r="P22" i="2"/>
  <c r="P23" i="2" s="1"/>
  <c r="O23" i="2"/>
  <c r="O25" i="2" s="1"/>
  <c r="N20" i="2"/>
  <c r="N22" i="2"/>
  <c r="N23" i="2" s="1"/>
  <c r="D17" i="2"/>
  <c r="H18" i="2"/>
  <c r="G18" i="2"/>
  <c r="C17" i="2"/>
  <c r="G16" i="2"/>
  <c r="F366" i="1" l="1"/>
  <c r="F367" i="1" s="1"/>
  <c r="F364" i="1"/>
  <c r="E7" i="2"/>
  <c r="C22" i="2"/>
  <c r="C23" i="2" s="1"/>
  <c r="F381" i="1"/>
  <c r="F379" i="1"/>
  <c r="F402" i="1" s="1"/>
  <c r="D7" i="2"/>
  <c r="D18" i="2"/>
  <c r="D16" i="2"/>
  <c r="E16" i="2" l="1"/>
  <c r="E18" i="2"/>
  <c r="F413" i="1"/>
  <c r="F382" i="1"/>
  <c r="C20" i="2"/>
  <c r="R23" i="2" l="1"/>
  <c r="G15" i="2" l="1"/>
  <c r="E15" i="2" l="1"/>
  <c r="D15" i="2" l="1"/>
  <c r="G11" i="2" l="1"/>
  <c r="D11" i="2" l="1"/>
  <c r="E11" i="2"/>
  <c r="D13" i="2" l="1"/>
  <c r="E13" i="2"/>
  <c r="M14" i="2" l="1"/>
  <c r="M20" i="2" l="1"/>
  <c r="M22" i="2"/>
  <c r="M23" i="2" s="1"/>
  <c r="D14" i="2" l="1"/>
  <c r="E14" i="2"/>
  <c r="F17" i="2"/>
  <c r="E17" i="2" l="1"/>
  <c r="I20" i="2" l="1"/>
  <c r="J20" i="2" l="1"/>
  <c r="K20" i="2"/>
  <c r="L20" i="2" l="1"/>
  <c r="O20" i="2"/>
  <c r="R20" i="2" l="1"/>
  <c r="G19" i="2" l="1"/>
  <c r="H19" i="2"/>
  <c r="F19" i="2"/>
  <c r="F22" i="2"/>
  <c r="F23" i="2" s="1"/>
  <c r="G22" i="2" l="1"/>
  <c r="G23" i="2" s="1"/>
  <c r="G20" i="2"/>
  <c r="H22" i="2"/>
  <c r="H23" i="2" s="1"/>
  <c r="H20" i="2"/>
  <c r="F20" i="2"/>
  <c r="D19" i="2"/>
  <c r="D22" i="2" l="1"/>
  <c r="D23" i="2" s="1"/>
  <c r="D20" i="2" l="1"/>
  <c r="E19" i="2"/>
  <c r="E20" i="2"/>
  <c r="E22" i="2"/>
  <c r="E23" i="2" s="1"/>
  <c r="Q17" i="2" l="1"/>
  <c r="Q22" i="2" l="1"/>
  <c r="Q23" i="2" s="1"/>
  <c r="Q20" i="2" l="1"/>
  <c r="S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Iveta</author>
  </authors>
  <commentList>
    <comment ref="D7" authorId="0" shapeId="0" xr:uid="{3CCB208F-90BA-46FC-B7B8-0546245883B7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7" authorId="0" shapeId="0" xr:uid="{DDA2A313-F8B1-450E-9EBC-D980E399B342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  <comment ref="D297" authorId="1" shapeId="0" xr:uid="{3E2C50AF-B810-491F-A206-8A2E657099C2}">
      <text>
        <r>
          <rPr>
            <b/>
            <sz val="9"/>
            <color indexed="81"/>
            <rFont val="Tahoma"/>
            <family val="2"/>
            <charset val="186"/>
          </rPr>
          <t>Iveta:</t>
        </r>
        <r>
          <rPr>
            <sz val="9"/>
            <color indexed="81"/>
            <rFont val="Tahoma"/>
            <family val="2"/>
            <charset val="186"/>
          </rPr>
          <t xml:space="preserve">
Skersmuo nuo 1100 iki 1700 mm.
</t>
        </r>
      </text>
    </comment>
    <comment ref="D303" authorId="1" shapeId="0" xr:uid="{FCFA0381-787F-4C8C-821E-078A3F0C0104}">
      <text>
        <r>
          <rPr>
            <b/>
            <sz val="9"/>
            <color indexed="81"/>
            <rFont val="Tahoma"/>
            <family val="2"/>
            <charset val="186"/>
          </rPr>
          <t>Iveta:</t>
        </r>
        <r>
          <rPr>
            <sz val="9"/>
            <color indexed="81"/>
            <rFont val="Tahoma"/>
            <family val="2"/>
            <charset val="186"/>
          </rPr>
          <t xml:space="preserve">
Skersmuo nuo 1100 iki 1700 mm.
</t>
        </r>
      </text>
    </comment>
  </commentList>
</comments>
</file>

<file path=xl/sharedStrings.xml><?xml version="1.0" encoding="utf-8"?>
<sst xmlns="http://schemas.openxmlformats.org/spreadsheetml/2006/main" count="1127" uniqueCount="522">
  <si>
    <t>Sutarties pavadinimas:</t>
  </si>
  <si>
    <t>Vilniaus miesto nuotekų valyklos nuotekų valymo įrenginių rekonstrukcijos II etapo darbai</t>
  </si>
  <si>
    <t>Sutarties numeris:</t>
  </si>
  <si>
    <t>SUT21-P-457</t>
  </si>
  <si>
    <t>Užsakovas:</t>
  </si>
  <si>
    <t>UAB "Vilniaus vandenys"</t>
  </si>
  <si>
    <t>Rangovas:</t>
  </si>
  <si>
    <t>UAB "Arginta"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</si>
  <si>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</si>
  <si>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</si>
  <si>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</si>
  <si>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</si>
  <si>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</si>
  <si>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</si>
  <si>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</si>
  <si>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Bendroji dalis</t>
  </si>
  <si>
    <t>1.1</t>
  </si>
  <si>
    <t>Informacinio stendo įrengimas ir priežiūra</t>
  </si>
  <si>
    <t>kompl.</t>
  </si>
  <si>
    <t>1.1.1</t>
  </si>
  <si>
    <t>Informacinio stendo įrengimas</t>
  </si>
  <si>
    <t>1.1.2</t>
  </si>
  <si>
    <t>Informacinio stendo priežiūra</t>
  </si>
  <si>
    <t>1.2</t>
  </si>
  <si>
    <t>Eksploatavimo ir priežiūros instrukcijos</t>
  </si>
  <si>
    <t>1.2.1</t>
  </si>
  <si>
    <t>NVĮ procesų valdymo ir priežiūros ekploatavimo instrukcijos</t>
  </si>
  <si>
    <t>1.2.2</t>
  </si>
  <si>
    <t>Technologinės įrangos eksploatacijos ir priežiūros instrukcijos</t>
  </si>
  <si>
    <t>1.2.3</t>
  </si>
  <si>
    <t>Automatizacijos valdymo ir matavimo įrangos eksploatavimo ir priežiūros instrukcijos</t>
  </si>
  <si>
    <t>1.2.4</t>
  </si>
  <si>
    <t>Paleidimo-derinimo programa</t>
  </si>
  <si>
    <t>1.2.5</t>
  </si>
  <si>
    <t>Bandymų programa</t>
  </si>
  <si>
    <t>1.3</t>
  </si>
  <si>
    <t>Techninis projektas</t>
  </si>
  <si>
    <t>1.3.1</t>
  </si>
  <si>
    <t>1-ojo etapo (pirminiai sėsdintuvai) projektiniai pasiūlymai</t>
  </si>
  <si>
    <t>1.3.2</t>
  </si>
  <si>
    <t>2-ojo etapo (likę objektai) projektiniai pasiūlymai</t>
  </si>
  <si>
    <t>1.3.3</t>
  </si>
  <si>
    <t>1-ojo etapo (pirminiai sėsdintuvai) techninis projektas</t>
  </si>
  <si>
    <t>1.3.4</t>
  </si>
  <si>
    <t>2-ojo etapo (likę objektai) techninis projektas</t>
  </si>
  <si>
    <t>1.3.5</t>
  </si>
  <si>
    <t xml:space="preserve">Esamų konstrukcijų ekspetizė ir tyrimai, Inžinerinių topografinių-geologinių tyrinėjimų parengimas </t>
  </si>
  <si>
    <t>1.4</t>
  </si>
  <si>
    <t>Darbo projektas</t>
  </si>
  <si>
    <t>1.4.1.</t>
  </si>
  <si>
    <t>Pirminių nusodintuvų grandies darbo projektas</t>
  </si>
  <si>
    <t>1.4.2.</t>
  </si>
  <si>
    <t>Išpludų sutvarkymo  grandies darbo projektas</t>
  </si>
  <si>
    <t>1.4.3.</t>
  </si>
  <si>
    <t>Tretinio valymo grandies darbo projektas</t>
  </si>
  <si>
    <t>1.4.4.</t>
  </si>
  <si>
    <t>Drenažo, vietinių nuotekų siurblinių  ir TR-2 darbo projektas</t>
  </si>
  <si>
    <t>1.4.5.</t>
  </si>
  <si>
    <t>Sklypo infrastruktūros, apsaugos ir priešgaisrinių sistemų bei bendros automatizacijos ir SCADA sistemos darbo projektas</t>
  </si>
  <si>
    <t>1.5</t>
  </si>
  <si>
    <t>1.5.1</t>
  </si>
  <si>
    <t>1.6</t>
  </si>
  <si>
    <t>Išpildomoji geodezinė nuotrauka</t>
  </si>
  <si>
    <t>1.6.1</t>
  </si>
  <si>
    <t>Išpildomieji brėžiniai</t>
  </si>
  <si>
    <t>1.6.2</t>
  </si>
  <si>
    <t>Pastatų inventorizacinės bylos</t>
  </si>
  <si>
    <t>1.6.3</t>
  </si>
  <si>
    <t>Techniniai pasai</t>
  </si>
  <si>
    <t>2.</t>
  </si>
  <si>
    <t>Pirminis nusodintuvas 3</t>
  </si>
  <si>
    <t>2.1</t>
  </si>
  <si>
    <t>Bendrieji statybos darbai</t>
  </si>
  <si>
    <t>2.1.1</t>
  </si>
  <si>
    <t>Paruošiamieji ir demontavimo darbai</t>
  </si>
  <si>
    <t>2.1.2</t>
  </si>
  <si>
    <t>Dugno rekonstrukcijos darbai</t>
  </si>
  <si>
    <t>2.1.3</t>
  </si>
  <si>
    <t>Išorės sienų armatūros atstatymas</t>
  </si>
  <si>
    <t>2.1.4</t>
  </si>
  <si>
    <t>Vidaus sienų ir konstrukcijų rekonstrukcijos darbai</t>
  </si>
  <si>
    <t>2.1.5</t>
  </si>
  <si>
    <t>Naujos surinkimo kameros Sėsdintuvo Nr. 3 statyba</t>
  </si>
  <si>
    <t>2.2</t>
  </si>
  <si>
    <t>Mechaninė dalis</t>
  </si>
  <si>
    <t>2.2.1</t>
  </si>
  <si>
    <t>Pirminio sėsdintuvo tiltelis su visa reikiama įranga bei paviršinio dumblo surinkimo sistema</t>
  </si>
  <si>
    <t>2.2.2</t>
  </si>
  <si>
    <t>Nuskaidrinto vandens surinkimo latakai</t>
  </si>
  <si>
    <t>2.2.3</t>
  </si>
  <si>
    <t>2.2.4</t>
  </si>
  <si>
    <t>Vamzdynai ir sklendės</t>
  </si>
  <si>
    <t>2.2.5</t>
  </si>
  <si>
    <t>Technologinės įrangos ir vamzdynų montavimo darbai</t>
  </si>
  <si>
    <t>2.3</t>
  </si>
  <si>
    <t>Elektros  dalis</t>
  </si>
  <si>
    <t>2.3.1</t>
  </si>
  <si>
    <t>Kabelių sistemų montavimas</t>
  </si>
  <si>
    <t>kompl</t>
  </si>
  <si>
    <t>2.3.2</t>
  </si>
  <si>
    <t>Kabelinės kanalizacijos įrengimas</t>
  </si>
  <si>
    <t>2.3.3</t>
  </si>
  <si>
    <t>Kabeliniai kanalai, kopėčios, tvirtinimo detalės, su montavimu</t>
  </si>
  <si>
    <t>2.3.4</t>
  </si>
  <si>
    <t>Vidaus ir lauko šviestuvai, su montavimu</t>
  </si>
  <si>
    <t>2.3.5</t>
  </si>
  <si>
    <t>Paleidimo derinimo darbai</t>
  </si>
  <si>
    <t>2.4</t>
  </si>
  <si>
    <t>Automatikos ir valdymo dalis</t>
  </si>
  <si>
    <t>2.4.1</t>
  </si>
  <si>
    <t>SCADA</t>
  </si>
  <si>
    <t>2.4.2</t>
  </si>
  <si>
    <t>AVS</t>
  </si>
  <si>
    <t>2.4.3</t>
  </si>
  <si>
    <t>MCC</t>
  </si>
  <si>
    <t>2.4.4</t>
  </si>
  <si>
    <t>Matavimo prietaisai</t>
  </si>
  <si>
    <t>2.4.5</t>
  </si>
  <si>
    <t>Derinimo montavimo darbai, kabelinės trasos</t>
  </si>
  <si>
    <t>3.</t>
  </si>
  <si>
    <t>Pirminis nusodintuvas 2</t>
  </si>
  <si>
    <t>3.1</t>
  </si>
  <si>
    <t xml:space="preserve">Bendrieji statybos darbai </t>
  </si>
  <si>
    <t>3.1.1</t>
  </si>
  <si>
    <t>3.1.2</t>
  </si>
  <si>
    <t>3.1.3</t>
  </si>
  <si>
    <t>3.1.4</t>
  </si>
  <si>
    <t>3.1.5</t>
  </si>
  <si>
    <t>Naujos surinkimo kameros Sėsdintuvo Nr. 2 statyba</t>
  </si>
  <si>
    <t>3.2</t>
  </si>
  <si>
    <t>3.2.1</t>
  </si>
  <si>
    <t>3.2.2</t>
  </si>
  <si>
    <t>3.2.3</t>
  </si>
  <si>
    <t>3.2.4</t>
  </si>
  <si>
    <t>3.2.5</t>
  </si>
  <si>
    <t>3.3</t>
  </si>
  <si>
    <t>Elektros dalis</t>
  </si>
  <si>
    <t>3.3.1</t>
  </si>
  <si>
    <t>3.3.2</t>
  </si>
  <si>
    <t>3.3.3</t>
  </si>
  <si>
    <t>3.3.4</t>
  </si>
  <si>
    <t>3.3.5</t>
  </si>
  <si>
    <t>3.4</t>
  </si>
  <si>
    <t>3.4.1</t>
  </si>
  <si>
    <t>3.4.2</t>
  </si>
  <si>
    <t>3.4.3</t>
  </si>
  <si>
    <t>3.4.4</t>
  </si>
  <si>
    <t>3.4.5</t>
  </si>
  <si>
    <t>4.</t>
  </si>
  <si>
    <t>Pirminis nusodintuvas 1</t>
  </si>
  <si>
    <t>4.1</t>
  </si>
  <si>
    <t>4.1.1</t>
  </si>
  <si>
    <t>4.1.2</t>
  </si>
  <si>
    <t>4.1.3</t>
  </si>
  <si>
    <t>4.1.4</t>
  </si>
  <si>
    <t>4.1.5</t>
  </si>
  <si>
    <t>Naujos surinkimo kameros Sėsdintuvo Nr. 1 statyba</t>
  </si>
  <si>
    <t>4.2</t>
  </si>
  <si>
    <t>4.2.1</t>
  </si>
  <si>
    <t>4.2.2</t>
  </si>
  <si>
    <t>4.2.3</t>
  </si>
  <si>
    <t>4.2.4</t>
  </si>
  <si>
    <t>4.2.5</t>
  </si>
  <si>
    <t>4.3</t>
  </si>
  <si>
    <t>4.3.1</t>
  </si>
  <si>
    <t>4.3.2</t>
  </si>
  <si>
    <t>4.3.3</t>
  </si>
  <si>
    <t>4.3.4</t>
  </si>
  <si>
    <t>4.3.5</t>
  </si>
  <si>
    <t>4.4</t>
  </si>
  <si>
    <t>4.4.1</t>
  </si>
  <si>
    <t>4.4.2</t>
  </si>
  <si>
    <t>4.4.3</t>
  </si>
  <si>
    <t>4.4.4</t>
  </si>
  <si>
    <t>4.4.5</t>
  </si>
  <si>
    <t>5.</t>
  </si>
  <si>
    <t>Pirminių nusodintuvų išplūdų sutvarkymo sistema</t>
  </si>
  <si>
    <t>5.1</t>
  </si>
  <si>
    <t>5.1.1</t>
  </si>
  <si>
    <t>Žemės darbai ir pamatai</t>
  </si>
  <si>
    <t>5.1.2</t>
  </si>
  <si>
    <t>Išpludo apdorojimo pastato sienos, stogas, langai ir durys</t>
  </si>
  <si>
    <t>5.1.3</t>
  </si>
  <si>
    <t>Išpludų šuliniai prie pirminių sėsdintuvų</t>
  </si>
  <si>
    <t>5.1.4</t>
  </si>
  <si>
    <t>Išpludų pastato šildymo-vėdinimo sistema</t>
  </si>
  <si>
    <t>5.1.5</t>
  </si>
  <si>
    <t xml:space="preserve"> Nuotekų ir dumblo vamzdynai (Visų 2-ojo etapo statinių)</t>
  </si>
  <si>
    <t>5.1.6</t>
  </si>
  <si>
    <t>Vietinių nuotekų tinklų įveklant rankoves ir šulinių remontas</t>
  </si>
  <si>
    <t>5.2</t>
  </si>
  <si>
    <t>5.2.1</t>
  </si>
  <si>
    <t>Išpludų ir riebalų flotatorius</t>
  </si>
  <si>
    <t>5.2.2</t>
  </si>
  <si>
    <t>Nešmenų plovimo presas</t>
  </si>
  <si>
    <t>5.2.3</t>
  </si>
  <si>
    <t xml:space="preserve">Išpludų siurbliai </t>
  </si>
  <si>
    <t>5.2.4</t>
  </si>
  <si>
    <t>5.2.5</t>
  </si>
  <si>
    <t>5.3</t>
  </si>
  <si>
    <t>5.3.1</t>
  </si>
  <si>
    <t>5.3.2</t>
  </si>
  <si>
    <t>5.3.3</t>
  </si>
  <si>
    <t>5.3.4</t>
  </si>
  <si>
    <t>5.3.5</t>
  </si>
  <si>
    <t>Pastato elektros instaliacija</t>
  </si>
  <si>
    <t>5.4</t>
  </si>
  <si>
    <t>Konteineriai</t>
  </si>
  <si>
    <t>5.5</t>
  </si>
  <si>
    <t>5.5.1</t>
  </si>
  <si>
    <t>5.4.2</t>
  </si>
  <si>
    <t>5.4.3</t>
  </si>
  <si>
    <t>5.4.4</t>
  </si>
  <si>
    <t>5.4.5</t>
  </si>
  <si>
    <t>6.</t>
  </si>
  <si>
    <t>Paskirstymo linijų kamerų įranga ir nuotekų linijos nuo kamerų iki  1 pirminio nusodintuvo ir nuo 1 pirminio nusodintuvo iki bioreaktorių</t>
  </si>
  <si>
    <t>6.1</t>
  </si>
  <si>
    <t>6.1.1</t>
  </si>
  <si>
    <t>6.1.2</t>
  </si>
  <si>
    <t>Vidaus sienų ir konstrukcijų remonto darbai</t>
  </si>
  <si>
    <t>6.1.3</t>
  </si>
  <si>
    <t>Vidaus sienų ir konstrukcijų hidroizoliacijos darbai</t>
  </si>
  <si>
    <t>6.2</t>
  </si>
  <si>
    <t>6.2.1</t>
  </si>
  <si>
    <t xml:space="preserve">Kanalinai uždoriai arba peilinė sklendė </t>
  </si>
  <si>
    <t>6.2.2</t>
  </si>
  <si>
    <t>Flanšai ir adapteriai</t>
  </si>
  <si>
    <t>6.2.3</t>
  </si>
  <si>
    <t>6.3</t>
  </si>
  <si>
    <t>6.3.1</t>
  </si>
  <si>
    <t>6.3.2</t>
  </si>
  <si>
    <t>6.3.3</t>
  </si>
  <si>
    <t>6.3.4</t>
  </si>
  <si>
    <t>6.4</t>
  </si>
  <si>
    <t>6.4.1</t>
  </si>
  <si>
    <t>6.4.2</t>
  </si>
  <si>
    <t>6.4.3</t>
  </si>
  <si>
    <t>6.4.4</t>
  </si>
  <si>
    <t>6.5</t>
  </si>
  <si>
    <t>Technologiniai vamzdynai</t>
  </si>
  <si>
    <t>6.5.1</t>
  </si>
  <si>
    <t>Esamo DN 1200 vamzdyno remontas</t>
  </si>
  <si>
    <t>6.5.2</t>
  </si>
  <si>
    <t>Vamzdynų siulių pervirinimas</t>
  </si>
  <si>
    <t>7.</t>
  </si>
  <si>
    <t>Paskirstymo linijų kamerų įranga ir nuotekų linijos nuo kamerų iki 2 pirminio nusodintuvo ir nuo 2 pirminio nusodintuvo iki bioreaktorių</t>
  </si>
  <si>
    <t>7.1</t>
  </si>
  <si>
    <t>7.1.1</t>
  </si>
  <si>
    <t>7.1.2</t>
  </si>
  <si>
    <t>7.1.3</t>
  </si>
  <si>
    <t>7.2</t>
  </si>
  <si>
    <t>7.2.1</t>
  </si>
  <si>
    <t>7.2.2</t>
  </si>
  <si>
    <t>7.2.3</t>
  </si>
  <si>
    <t>7.3</t>
  </si>
  <si>
    <t>7.3.1</t>
  </si>
  <si>
    <t>7.3.2</t>
  </si>
  <si>
    <t>7.3.3</t>
  </si>
  <si>
    <t>7.3.4</t>
  </si>
  <si>
    <t>7.4</t>
  </si>
  <si>
    <t>7.4.1</t>
  </si>
  <si>
    <t>7.4.2</t>
  </si>
  <si>
    <t>7.4.3</t>
  </si>
  <si>
    <t>7.4.4</t>
  </si>
  <si>
    <t>7.5</t>
  </si>
  <si>
    <t>7.5.1</t>
  </si>
  <si>
    <t>7.5.2</t>
  </si>
  <si>
    <t>8.</t>
  </si>
  <si>
    <t>Paskirstymo linijų kamerų įranga ir nuotekų linijos nuo kamerų iki 3 pirminio nusodintuvo ir nuo 3 pirminio nusodintuvo iki bioreaktorių</t>
  </si>
  <si>
    <t>8.1</t>
  </si>
  <si>
    <t>8.1.1</t>
  </si>
  <si>
    <t>8.1.2</t>
  </si>
  <si>
    <t>8.1.3</t>
  </si>
  <si>
    <t>8.2</t>
  </si>
  <si>
    <t>8.2.1</t>
  </si>
  <si>
    <t>8.2.2</t>
  </si>
  <si>
    <t>8.2.3</t>
  </si>
  <si>
    <t>8.3</t>
  </si>
  <si>
    <t>8.3.1</t>
  </si>
  <si>
    <t>8.3.2</t>
  </si>
  <si>
    <t>8.3.3</t>
  </si>
  <si>
    <t>8.3.4</t>
  </si>
  <si>
    <t>8.4</t>
  </si>
  <si>
    <t>8.4.1</t>
  </si>
  <si>
    <t>8.4.2</t>
  </si>
  <si>
    <t>8.4.3</t>
  </si>
  <si>
    <t>8.4.5</t>
  </si>
  <si>
    <t>8.5</t>
  </si>
  <si>
    <t>8.5.1</t>
  </si>
  <si>
    <t>8.5.2</t>
  </si>
  <si>
    <t>9.</t>
  </si>
  <si>
    <t>Tretinis valymas</t>
  </si>
  <si>
    <t>9.1</t>
  </si>
  <si>
    <t>9.1.1</t>
  </si>
  <si>
    <t>Paruošiamieji ir demontavimo darbai, Tretinio valymo grandies talpų dugnų įrengimo darbai</t>
  </si>
  <si>
    <t>9.1.2</t>
  </si>
  <si>
    <t>Tretinio valymo grandies talpų G/B sienų ir pamatų įrengimo darbai</t>
  </si>
  <si>
    <t>9.1.3</t>
  </si>
  <si>
    <t>Tretinio valymo grandies pastatų metalo karkasų įrengimas</t>
  </si>
  <si>
    <t>9.1.4</t>
  </si>
  <si>
    <t xml:space="preserve">Tretinio valymo grandies pastatų sienų, stogo, langų, durų statybos ir apdailos darbų atlikimas, nuotekų bei vandentiekio tinklai </t>
  </si>
  <si>
    <t>9.1.5</t>
  </si>
  <si>
    <t>Vandentiekio ir nuotekų tinklai</t>
  </si>
  <si>
    <t>9.2</t>
  </si>
  <si>
    <t>9.2.1</t>
  </si>
  <si>
    <t>Tretinio valymo filtrų įranga</t>
  </si>
  <si>
    <t>9.2.2</t>
  </si>
  <si>
    <t>Dumblo-plastiko atskirimo įranga</t>
  </si>
  <si>
    <t>9.2.3</t>
  </si>
  <si>
    <t>Kanaliniai uždoriai</t>
  </si>
  <si>
    <t>9.2.4</t>
  </si>
  <si>
    <t>Pagalbinė įranga ir uždaromoji armatūra</t>
  </si>
  <si>
    <t>9.2.5</t>
  </si>
  <si>
    <t>Technologinės įrangos  montavimo darbai</t>
  </si>
  <si>
    <t>9.3</t>
  </si>
  <si>
    <t>9.3.1</t>
  </si>
  <si>
    <t>9.3.2</t>
  </si>
  <si>
    <t>9.3.3</t>
  </si>
  <si>
    <t>9.3.4</t>
  </si>
  <si>
    <t>9.3.5</t>
  </si>
  <si>
    <t>9.4</t>
  </si>
  <si>
    <t>Šildymo ir vėdinimo dalis</t>
  </si>
  <si>
    <t>9.4.1</t>
  </si>
  <si>
    <t>Šildymo ir vėdinimo įranga</t>
  </si>
  <si>
    <t>9.4.2</t>
  </si>
  <si>
    <t>Montavimo darbai</t>
  </si>
  <si>
    <t>9.5</t>
  </si>
  <si>
    <t>9.5.1</t>
  </si>
  <si>
    <t>9.5.2</t>
  </si>
  <si>
    <t>9.5.3</t>
  </si>
  <si>
    <t>9.5.4</t>
  </si>
  <si>
    <t>9.5.5</t>
  </si>
  <si>
    <t>9.6</t>
  </si>
  <si>
    <t>9.6.1</t>
  </si>
  <si>
    <t>Paruošiamieji ir žemės darbai</t>
  </si>
  <si>
    <t>9.6.2</t>
  </si>
  <si>
    <t>Kanalo dugno statyba</t>
  </si>
  <si>
    <t>9.6.3</t>
  </si>
  <si>
    <t>Kanalo sienų statyba</t>
  </si>
  <si>
    <t>9.7</t>
  </si>
  <si>
    <t>9.8</t>
  </si>
  <si>
    <t>Aplinkos tvarkymas</t>
  </si>
  <si>
    <t>9.9</t>
  </si>
  <si>
    <t>Aikštelės ir privažiavimo keliai</t>
  </si>
  <si>
    <t>9.9.1</t>
  </si>
  <si>
    <t>Skaldos tiekimas ir pristatymas</t>
  </si>
  <si>
    <t>9.9.2</t>
  </si>
  <si>
    <t>Skaldos kelio įrengimas 300 mm storio</t>
  </si>
  <si>
    <t>9.10</t>
  </si>
  <si>
    <t>Apsauginės ir gaisrinės saugos signalizacijos dalis</t>
  </si>
  <si>
    <t>10.</t>
  </si>
  <si>
    <t>Drenažo siurblinė</t>
  </si>
  <si>
    <t>10.1</t>
  </si>
  <si>
    <t>10.1.1</t>
  </si>
  <si>
    <t>10.1.2</t>
  </si>
  <si>
    <t>Rezervuarų vidaus paviršių remontas</t>
  </si>
  <si>
    <t>10.1.3</t>
  </si>
  <si>
    <t>Pastato išorės konstrukcijų remontas: fasadas, stogas, langai, durys, vartai</t>
  </si>
  <si>
    <t>10.1.4</t>
  </si>
  <si>
    <t>Vidaus sienų ir lubų perdažymas</t>
  </si>
  <si>
    <t>10.1.5</t>
  </si>
  <si>
    <t>Pastato likusieji vidaus remonto darbai</t>
  </si>
  <si>
    <t>10.2</t>
  </si>
  <si>
    <t>10.2.1</t>
  </si>
  <si>
    <t>Nuotekų siurbliai</t>
  </si>
  <si>
    <t>10.2.2</t>
  </si>
  <si>
    <t>Uždaromoji ir reguliavimo armatūra</t>
  </si>
  <si>
    <t>10.2.3</t>
  </si>
  <si>
    <t>10.3</t>
  </si>
  <si>
    <t>10.3.1</t>
  </si>
  <si>
    <t>10.3.2</t>
  </si>
  <si>
    <t>10.3.3</t>
  </si>
  <si>
    <t>10.3.4</t>
  </si>
  <si>
    <t>10.3.5</t>
  </si>
  <si>
    <t>10.4</t>
  </si>
  <si>
    <t>10.4.1</t>
  </si>
  <si>
    <t>10.4.2</t>
  </si>
  <si>
    <t>10.4.3</t>
  </si>
  <si>
    <t>10.4.4</t>
  </si>
  <si>
    <t>10.4.5</t>
  </si>
  <si>
    <t>10.5</t>
  </si>
  <si>
    <t>10.6</t>
  </si>
  <si>
    <t>10.6.1</t>
  </si>
  <si>
    <t>10.6.2</t>
  </si>
  <si>
    <t>10.7</t>
  </si>
  <si>
    <t>Technologiniai vamzdynai (pastato viduje)</t>
  </si>
  <si>
    <t>11.</t>
  </si>
  <si>
    <t>Vietinių nuotekų siurblinė</t>
  </si>
  <si>
    <t>11.1</t>
  </si>
  <si>
    <t>11.1.1</t>
  </si>
  <si>
    <t>Siurblinės korpusas</t>
  </si>
  <si>
    <t>11.1.2</t>
  </si>
  <si>
    <t>11.1.3</t>
  </si>
  <si>
    <t xml:space="preserve">Papildomas angų gręžimas d650 </t>
  </si>
  <si>
    <t>11.1.4</t>
  </si>
  <si>
    <t>Kanalo remontas, hidroizoliavimas</t>
  </si>
  <si>
    <t>11.2</t>
  </si>
  <si>
    <t>11.2.1</t>
  </si>
  <si>
    <t>11.2.2</t>
  </si>
  <si>
    <t>Uždaromoji ir reguliavimo armatūra, fasoninės dalys</t>
  </si>
  <si>
    <t>11.2.3</t>
  </si>
  <si>
    <t xml:space="preserve">Technologinė įranga </t>
  </si>
  <si>
    <t xml:space="preserve">Vamzdynai ir sklendės </t>
  </si>
  <si>
    <t>11.3</t>
  </si>
  <si>
    <t>11.3.1</t>
  </si>
  <si>
    <t>11.3.2</t>
  </si>
  <si>
    <t>11.3.3</t>
  </si>
  <si>
    <t>Žaibosauga, įžeminimas, su montavimu</t>
  </si>
  <si>
    <t>11.3.4</t>
  </si>
  <si>
    <t>Skydai, su montavimu</t>
  </si>
  <si>
    <t>11.3.5</t>
  </si>
  <si>
    <t>11.4</t>
  </si>
  <si>
    <t>11.4.1</t>
  </si>
  <si>
    <t>11.4.2</t>
  </si>
  <si>
    <t>11.4.3</t>
  </si>
  <si>
    <t>11.4.4</t>
  </si>
  <si>
    <t>11.4.5</t>
  </si>
  <si>
    <t>11.5</t>
  </si>
  <si>
    <t>12.</t>
  </si>
  <si>
    <t>Elektros skirstykla TR1</t>
  </si>
  <si>
    <t>12.1</t>
  </si>
  <si>
    <t>12.2</t>
  </si>
  <si>
    <t>12.3</t>
  </si>
  <si>
    <t>12.3.1</t>
  </si>
  <si>
    <t>12.3.2</t>
  </si>
  <si>
    <t>12.4</t>
  </si>
  <si>
    <t>12.4.1</t>
  </si>
  <si>
    <t>12.4.2</t>
  </si>
  <si>
    <t>Transformatorių įranga</t>
  </si>
  <si>
    <t>12.4.3</t>
  </si>
  <si>
    <t>12.4.4</t>
  </si>
  <si>
    <t>12.4.5</t>
  </si>
  <si>
    <t>Montavimo ir paleidimo-derinimo darbai</t>
  </si>
  <si>
    <t>12.5</t>
  </si>
  <si>
    <t>13.</t>
  </si>
  <si>
    <t>Rekonstruojamų įrenginių teritorijos sutvarkymas</t>
  </si>
  <si>
    <t>13.1</t>
  </si>
  <si>
    <t>13.2</t>
  </si>
  <si>
    <t xml:space="preserve">Keliai </t>
  </si>
  <si>
    <t>13.2.1</t>
  </si>
  <si>
    <t>13.2.2</t>
  </si>
  <si>
    <t>Vejos bordiūrai</t>
  </si>
  <si>
    <t>13.2.3</t>
  </si>
  <si>
    <t>Paruošiamieji darbai</t>
  </si>
  <si>
    <t/>
  </si>
  <si>
    <t>IŠ VISO DARBAMS</t>
  </si>
  <si>
    <t>IŠ VISO PAGAL ŽINIARAŠTĮ</t>
  </si>
  <si>
    <t>PVM</t>
  </si>
  <si>
    <t>IŠ VISO su PVM</t>
  </si>
  <si>
    <t>Techninės priežiūros vadovas</t>
  </si>
  <si>
    <t>(Vardas, Pavardė, Pareigos)</t>
  </si>
  <si>
    <t>(Parašas, Data)</t>
  </si>
  <si>
    <t>Rangovas</t>
  </si>
  <si>
    <t>Užsakovas</t>
  </si>
  <si>
    <t>suma po indeksavimo pasitikrinimui</t>
  </si>
  <si>
    <t>koeficientas indeksavimo</t>
  </si>
  <si>
    <t>Sutarties Nr.:</t>
  </si>
  <si>
    <t>UAB „Arginta“</t>
  </si>
  <si>
    <t>Pagrindiniai objektai</t>
  </si>
  <si>
    <t>Darbų kaina pagal sutartį (Eur)</t>
  </si>
  <si>
    <t>Nuo statybų pradžios (Eur)</t>
  </si>
  <si>
    <t>Likutis (Eur)</t>
  </si>
  <si>
    <t>2022 06 28</t>
  </si>
  <si>
    <t>2022 09 22</t>
  </si>
  <si>
    <t>Atskaitinį mėnesį (Eur)</t>
  </si>
  <si>
    <t>1.</t>
  </si>
  <si>
    <t>VISO DARBAMS</t>
  </si>
  <si>
    <t>Užsakovo rezervas ir sutaupymai</t>
  </si>
  <si>
    <t>IŠ VISO</t>
  </si>
  <si>
    <t>Sulaikoma suma 5%</t>
  </si>
  <si>
    <t>Tretinio valymo apvadinė linija (22 statinys)</t>
  </si>
  <si>
    <t>Evaldas Bertulis      Vyr. projektų vadovas</t>
  </si>
  <si>
    <t>Loreta Jakštienė      Vyr. projektų vadovė</t>
  </si>
  <si>
    <t xml:space="preserve">Nerudijančio plieno AISI 304L važiavimo tako dangtis 3 mm storio </t>
  </si>
  <si>
    <t>SUVESTINIS (SUPAPRASTINTAS) ATLIKTŲ DARBŲ AKTAS NR.15</t>
  </si>
  <si>
    <t>Objekto pridavimo procedūros</t>
  </si>
  <si>
    <t>Pridavimas su deklaracijomis</t>
  </si>
  <si>
    <t>Pridavimas su statybos užbaigimo aktais</t>
  </si>
  <si>
    <t>Kadastriniai dokumentai</t>
  </si>
  <si>
    <t>Vietinių nuotekų slėginė linija</t>
  </si>
  <si>
    <t>Techninio, darbo projektų parengimas</t>
  </si>
  <si>
    <t>Statybą leidžiančio dokumento gavimas</t>
  </si>
  <si>
    <t>Projekto autorinė priežiūra</t>
  </si>
  <si>
    <t>2.5</t>
  </si>
  <si>
    <t>Vamzdynų klojimas atviru būdu</t>
  </si>
  <si>
    <t>2.6</t>
  </si>
  <si>
    <t>Vamzdynų klojimas betranšėjiniu būdu</t>
  </si>
  <si>
    <t>2.7</t>
  </si>
  <si>
    <t>Dangų atstatymas</t>
  </si>
  <si>
    <t>2.8</t>
  </si>
  <si>
    <t>Darbų pridavimo procedūros</t>
  </si>
  <si>
    <t>2.9</t>
  </si>
  <si>
    <t>Kadastrinių dokumentų atnaujinimas</t>
  </si>
  <si>
    <t>Kanalų tarp antrinių sėsdintuvų ir tretinio valymo uždengimas, esamų porankių, perėjimų, uždorių demontavimas</t>
  </si>
  <si>
    <t>Projekto parengimas</t>
  </si>
  <si>
    <t>Turėklų, uždorių, perlipimų demontavimas</t>
  </si>
  <si>
    <t>Kanalų išvalymas nuo žolių</t>
  </si>
  <si>
    <t>Laikančios metalo konstrukcijos</t>
  </si>
  <si>
    <t>3.5</t>
  </si>
  <si>
    <t>Laikančių metalo konstrukcijų montavimo darbai</t>
  </si>
  <si>
    <t>3.6</t>
  </si>
  <si>
    <t>Stiklo pluošto uždengimų medžiagos</t>
  </si>
  <si>
    <t>3.7</t>
  </si>
  <si>
    <t>Stiklo pluošto uždengimų montavimo darbai</t>
  </si>
  <si>
    <t>14</t>
  </si>
  <si>
    <t>15</t>
  </si>
  <si>
    <t>16</t>
  </si>
  <si>
    <t xml:space="preserve">Skaldos kelių ir takų įrengimas </t>
  </si>
  <si>
    <r>
      <t>DARBŲ ŽINIARAŠTIS</t>
    </r>
    <r>
      <rPr>
        <b/>
        <sz val="14"/>
        <color rgb="FFFF0000"/>
        <rFont val="Times New Roman"/>
        <family val="1"/>
        <charset val="186"/>
      </rPr>
      <t xml:space="preserve"> (2024 08 09)</t>
    </r>
  </si>
  <si>
    <t>17</t>
  </si>
  <si>
    <t>Vietinių nuotekų tinklų įvelkant rankoves remontas</t>
  </si>
  <si>
    <t>17.1</t>
  </si>
  <si>
    <t>18</t>
  </si>
  <si>
    <t xml:space="preserve">Šepečių įrengimas esamuose antrinių sėsdintuvų latakuose </t>
  </si>
  <si>
    <t>18.1</t>
  </si>
  <si>
    <t>18.2</t>
  </si>
  <si>
    <t>18.2.1</t>
  </si>
  <si>
    <t>Rankinio valdymo šepečiai 10 vnt.</t>
  </si>
  <si>
    <t>18.2.2</t>
  </si>
  <si>
    <t>Technologinės įrangos montavimo darbai</t>
  </si>
  <si>
    <t>18.2.3</t>
  </si>
  <si>
    <t>18.3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</si>
</sst>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#,##0.00_ ;\-#,##0.00\ "/>
    <numFmt numFmtId="166" formatCode="#,##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4"/>
      <color indexed="30"/>
      <name val="Times New Roman"/>
      <family val="1"/>
      <charset val="186"/>
    </font>
    <font>
      <b/>
      <sz val="11"/>
      <name val="Times New Roman"/>
      <family val="1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204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</font>
    <font>
      <sz val="10"/>
      <name val="Times New Roman"/>
      <family val="1"/>
      <charset val="186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186"/>
    </font>
    <font>
      <sz val="9"/>
      <name val="Times New Roman"/>
      <family val="1"/>
    </font>
    <font>
      <b/>
      <sz val="9"/>
      <color indexed="8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indexed="8"/>
      <name val="Times New Roman"/>
      <family val="1"/>
    </font>
    <font>
      <b/>
      <sz val="12"/>
      <color theme="1"/>
      <name val="Times New Roman"/>
      <family val="1"/>
      <charset val="186"/>
    </font>
    <font>
      <b/>
      <sz val="11"/>
      <color indexed="3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7" fillId="0" borderId="0"/>
    <xf numFmtId="0" fontId="9" fillId="0" borderId="0"/>
    <xf numFmtId="0" fontId="10" fillId="0" borderId="0"/>
    <xf numFmtId="0" fontId="2" fillId="0" borderId="0"/>
    <xf numFmtId="9" fontId="10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5" fillId="0" borderId="0"/>
  </cellStyleXfs>
  <cellXfs count="225">
    <xf numFmtId="0" fontId="0" fillId="0" borderId="0" xfId="0"/>
    <xf numFmtId="0" fontId="3" fillId="0" borderId="0" xfId="1"/>
    <xf numFmtId="0" fontId="11" fillId="0" borderId="7" xfId="4" applyFont="1" applyBorder="1" applyAlignment="1">
      <alignment horizontal="center" vertical="center" wrapText="1"/>
    </xf>
    <xf numFmtId="0" fontId="11" fillId="4" borderId="7" xfId="4" applyFont="1" applyFill="1" applyBorder="1" applyAlignment="1">
      <alignment horizontal="center" vertical="center" wrapText="1"/>
    </xf>
    <xf numFmtId="0" fontId="11" fillId="0" borderId="7" xfId="4" applyFont="1" applyBorder="1" applyAlignment="1">
      <alignment vertical="center" wrapText="1"/>
    </xf>
    <xf numFmtId="0" fontId="12" fillId="0" borderId="7" xfId="4" applyFont="1" applyBorder="1" applyAlignment="1">
      <alignment vertical="center" wrapText="1"/>
    </xf>
    <xf numFmtId="0" fontId="12" fillId="0" borderId="7" xfId="4" applyFont="1" applyBorder="1" applyAlignment="1">
      <alignment horizontal="center" vertical="center" wrapText="1"/>
    </xf>
    <xf numFmtId="0" fontId="3" fillId="0" borderId="8" xfId="1" applyBorder="1"/>
    <xf numFmtId="0" fontId="3" fillId="0" borderId="7" xfId="1" applyBorder="1"/>
    <xf numFmtId="0" fontId="12" fillId="0" borderId="7" xfId="5" applyFont="1" applyBorder="1" applyAlignment="1">
      <alignment horizontal="justify" vertical="top" wrapText="1"/>
    </xf>
    <xf numFmtId="0" fontId="12" fillId="0" borderId="7" xfId="5" applyFont="1" applyBorder="1" applyAlignment="1">
      <alignment horizontal="center" vertical="top" wrapText="1"/>
    </xf>
    <xf numFmtId="0" fontId="12" fillId="0" borderId="7" xfId="5" applyFont="1" applyBorder="1" applyAlignment="1">
      <alignment vertical="top" wrapText="1"/>
    </xf>
    <xf numFmtId="0" fontId="14" fillId="0" borderId="7" xfId="4" applyFont="1" applyBorder="1" applyAlignment="1">
      <alignment vertical="center" wrapText="1"/>
    </xf>
    <xf numFmtId="0" fontId="12" fillId="0" borderId="7" xfId="7" applyFont="1" applyBorder="1" applyAlignment="1">
      <alignment wrapText="1"/>
    </xf>
    <xf numFmtId="0" fontId="12" fillId="0" borderId="7" xfId="9" applyFont="1" applyBorder="1" applyAlignment="1">
      <alignment horizontal="left" vertical="center" wrapText="1"/>
    </xf>
    <xf numFmtId="0" fontId="12" fillId="0" borderId="7" xfId="8" applyFont="1" applyBorder="1" applyAlignment="1">
      <alignment horizontal="left" vertical="center" wrapText="1" indent="1"/>
    </xf>
    <xf numFmtId="0" fontId="16" fillId="0" borderId="7" xfId="0" applyFont="1" applyBorder="1" applyAlignment="1">
      <alignment wrapText="1"/>
    </xf>
    <xf numFmtId="0" fontId="17" fillId="0" borderId="0" xfId="5" applyFont="1" applyAlignment="1">
      <alignment vertical="top"/>
    </xf>
    <xf numFmtId="0" fontId="12" fillId="4" borderId="7" xfId="1" applyFont="1" applyFill="1" applyBorder="1" applyAlignment="1">
      <alignment vertical="top" wrapText="1"/>
    </xf>
    <xf numFmtId="0" fontId="14" fillId="0" borderId="7" xfId="4" applyFont="1" applyBorder="1" applyAlignment="1">
      <alignment horizontal="left" vertical="center" wrapText="1"/>
    </xf>
    <xf numFmtId="49" fontId="3" fillId="0" borderId="0" xfId="1" applyNumberFormat="1"/>
    <xf numFmtId="0" fontId="5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165" fontId="6" fillId="0" borderId="5" xfId="2" applyNumberFormat="1" applyFont="1" applyBorder="1" applyAlignment="1">
      <alignment vertical="center" wrapText="1"/>
    </xf>
    <xf numFmtId="0" fontId="21" fillId="0" borderId="0" xfId="0" applyFont="1"/>
    <xf numFmtId="0" fontId="3" fillId="0" borderId="0" xfId="0" applyFont="1"/>
    <xf numFmtId="0" fontId="3" fillId="0" borderId="17" xfId="0" applyFont="1" applyBorder="1"/>
    <xf numFmtId="0" fontId="21" fillId="0" borderId="0" xfId="0" applyFont="1" applyAlignment="1">
      <alignment horizontal="center" vertical="center"/>
    </xf>
    <xf numFmtId="0" fontId="3" fillId="0" borderId="27" xfId="0" applyFont="1" applyBorder="1"/>
    <xf numFmtId="0" fontId="21" fillId="0" borderId="27" xfId="0" applyFont="1" applyBorder="1" applyAlignment="1">
      <alignment horizontal="center" vertical="center"/>
    </xf>
    <xf numFmtId="0" fontId="8" fillId="0" borderId="28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165" fontId="6" fillId="0" borderId="4" xfId="2" applyNumberFormat="1" applyFont="1" applyBorder="1" applyAlignment="1">
      <alignment vertical="center" wrapText="1"/>
    </xf>
    <xf numFmtId="0" fontId="12" fillId="0" borderId="29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 wrapText="1"/>
    </xf>
    <xf numFmtId="165" fontId="12" fillId="0" borderId="22" xfId="2" applyNumberFormat="1" applyFont="1" applyBorder="1" applyAlignment="1">
      <alignment horizontal="right" vertical="center" wrapText="1"/>
    </xf>
    <xf numFmtId="165" fontId="12" fillId="0" borderId="31" xfId="2" applyNumberFormat="1" applyFont="1" applyBorder="1" applyAlignment="1">
      <alignment horizontal="right" vertical="center" wrapText="1"/>
    </xf>
    <xf numFmtId="0" fontId="14" fillId="0" borderId="7" xfId="9" applyFont="1" applyBorder="1" applyAlignment="1">
      <alignment horizontal="left" vertical="center" wrapText="1"/>
    </xf>
    <xf numFmtId="0" fontId="14" fillId="0" borderId="7" xfId="9" applyFont="1" applyBorder="1" applyAlignment="1">
      <alignment horizontal="center" vertical="center" wrapText="1"/>
    </xf>
    <xf numFmtId="0" fontId="14" fillId="0" borderId="7" xfId="8" applyFont="1" applyBorder="1" applyAlignment="1">
      <alignment horizontal="left" vertical="center" wrapText="1"/>
    </xf>
    <xf numFmtId="0" fontId="12" fillId="4" borderId="7" xfId="2" applyFont="1" applyFill="1" applyBorder="1" applyAlignment="1">
      <alignment horizontal="center" vertical="center" wrapText="1"/>
    </xf>
    <xf numFmtId="0" fontId="12" fillId="0" borderId="7" xfId="3" applyFont="1" applyBorder="1" applyAlignment="1">
      <alignment horizontal="left" vertical="top" wrapText="1"/>
    </xf>
    <xf numFmtId="0" fontId="12" fillId="7" borderId="7" xfId="1" applyFont="1" applyFill="1" applyBorder="1" applyAlignment="1">
      <alignment vertical="top" wrapText="1"/>
    </xf>
    <xf numFmtId="0" fontId="8" fillId="0" borderId="9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center" vertical="center" wrapText="1"/>
    </xf>
    <xf numFmtId="0" fontId="12" fillId="0" borderId="7" xfId="7" applyFont="1" applyBorder="1" applyAlignment="1">
      <alignment vertical="top" wrapText="1"/>
    </xf>
    <xf numFmtId="0" fontId="12" fillId="0" borderId="7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center" vertical="center" wrapText="1"/>
    </xf>
    <xf numFmtId="0" fontId="14" fillId="0" borderId="7" xfId="8" applyFont="1" applyBorder="1" applyAlignment="1" applyProtection="1">
      <alignment vertical="center" wrapText="1"/>
      <protection hidden="1"/>
    </xf>
    <xf numFmtId="49" fontId="8" fillId="0" borderId="14" xfId="2" applyNumberFormat="1" applyFont="1" applyBorder="1" applyAlignment="1">
      <alignment horizontal="center" vertical="center" wrapText="1"/>
    </xf>
    <xf numFmtId="0" fontId="14" fillId="0" borderId="7" xfId="8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top" wrapText="1"/>
    </xf>
    <xf numFmtId="0" fontId="12" fillId="0" borderId="7" xfId="5" applyFont="1" applyBorder="1" applyAlignment="1">
      <alignment horizontal="left" vertical="top" wrapText="1"/>
    </xf>
    <xf numFmtId="0" fontId="12" fillId="0" borderId="7" xfId="4" applyFont="1" applyBorder="1" applyAlignment="1">
      <alignment vertical="top" wrapText="1"/>
    </xf>
    <xf numFmtId="0" fontId="12" fillId="4" borderId="3" xfId="1" applyFont="1" applyFill="1" applyBorder="1" applyAlignment="1">
      <alignment vertical="top" wrapText="1"/>
    </xf>
    <xf numFmtId="4" fontId="8" fillId="0" borderId="15" xfId="2" applyNumberFormat="1" applyFont="1" applyBorder="1" applyAlignment="1">
      <alignment vertical="center" wrapText="1"/>
    </xf>
    <xf numFmtId="0" fontId="12" fillId="0" borderId="7" xfId="7" applyFont="1" applyBorder="1"/>
    <xf numFmtId="10" fontId="12" fillId="4" borderId="7" xfId="1" applyNumberFormat="1" applyFont="1" applyFill="1" applyBorder="1" applyAlignment="1">
      <alignment horizontal="left" vertical="top" wrapText="1"/>
    </xf>
    <xf numFmtId="0" fontId="12" fillId="4" borderId="7" xfId="1" applyFont="1" applyFill="1" applyBorder="1" applyAlignment="1">
      <alignment horizontal="left" vertical="top" wrapText="1"/>
    </xf>
    <xf numFmtId="0" fontId="12" fillId="0" borderId="7" xfId="7" applyFont="1" applyBorder="1" applyAlignment="1">
      <alignment horizontal="left" wrapText="1"/>
    </xf>
    <xf numFmtId="0" fontId="12" fillId="0" borderId="7" xfId="7" applyFont="1" applyBorder="1" applyAlignment="1">
      <alignment horizontal="center"/>
    </xf>
    <xf numFmtId="49" fontId="8" fillId="6" borderId="18" xfId="2" applyNumberFormat="1" applyFont="1" applyFill="1" applyBorder="1" applyAlignment="1">
      <alignment horizontal="center" vertical="center" wrapText="1"/>
    </xf>
    <xf numFmtId="0" fontId="8" fillId="6" borderId="19" xfId="2" applyFont="1" applyFill="1" applyBorder="1" applyAlignment="1">
      <alignment horizontal="left" vertical="center" wrapText="1"/>
    </xf>
    <xf numFmtId="0" fontId="8" fillId="6" borderId="19" xfId="2" applyFont="1" applyFill="1" applyBorder="1" applyAlignment="1">
      <alignment horizontal="center" vertical="center" wrapText="1"/>
    </xf>
    <xf numFmtId="4" fontId="8" fillId="6" borderId="20" xfId="2" applyNumberFormat="1" applyFont="1" applyFill="1" applyBorder="1" applyAlignment="1">
      <alignment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left" vertical="center" wrapText="1"/>
    </xf>
    <xf numFmtId="0" fontId="8" fillId="0" borderId="22" xfId="2" applyFont="1" applyBorder="1" applyAlignment="1">
      <alignment horizontal="center" vertical="center" wrapText="1"/>
    </xf>
    <xf numFmtId="10" fontId="12" fillId="4" borderId="7" xfId="2" applyNumberFormat="1" applyFont="1" applyFill="1" applyBorder="1" applyAlignment="1">
      <alignment vertical="center" wrapText="1"/>
    </xf>
    <xf numFmtId="4" fontId="12" fillId="4" borderId="7" xfId="1" applyNumberFormat="1" applyFont="1" applyFill="1" applyBorder="1" applyAlignment="1">
      <alignment vertical="top" wrapText="1"/>
    </xf>
    <xf numFmtId="4" fontId="12" fillId="4" borderId="7" xfId="2" applyNumberFormat="1" applyFont="1" applyFill="1" applyBorder="1" applyAlignment="1">
      <alignment vertical="center" wrapText="1"/>
    </xf>
    <xf numFmtId="10" fontId="12" fillId="0" borderId="7" xfId="2" applyNumberFormat="1" applyFont="1" applyBorder="1" applyAlignment="1">
      <alignment vertical="center" wrapText="1"/>
    </xf>
    <xf numFmtId="4" fontId="12" fillId="0" borderId="7" xfId="2" applyNumberFormat="1" applyFont="1" applyBorder="1" applyAlignment="1">
      <alignment vertical="center" wrapText="1"/>
    </xf>
    <xf numFmtId="4" fontId="11" fillId="0" borderId="7" xfId="4" applyNumberFormat="1" applyFont="1" applyBorder="1" applyAlignment="1">
      <alignment vertical="center" wrapText="1"/>
    </xf>
    <xf numFmtId="2" fontId="8" fillId="0" borderId="9" xfId="2" applyNumberFormat="1" applyFont="1" applyBorder="1" applyAlignment="1">
      <alignment vertical="center" wrapText="1"/>
    </xf>
    <xf numFmtId="2" fontId="8" fillId="0" borderId="13" xfId="2" applyNumberFormat="1" applyFont="1" applyBorder="1" applyAlignment="1">
      <alignment vertical="center" wrapText="1"/>
    </xf>
    <xf numFmtId="4" fontId="8" fillId="0" borderId="11" xfId="2" applyNumberFormat="1" applyFont="1" applyBorder="1" applyAlignment="1">
      <alignment vertical="center" wrapText="1"/>
    </xf>
    <xf numFmtId="10" fontId="12" fillId="4" borderId="7" xfId="1" applyNumberFormat="1" applyFont="1" applyFill="1" applyBorder="1" applyAlignment="1">
      <alignment vertical="top" wrapText="1"/>
    </xf>
    <xf numFmtId="4" fontId="12" fillId="0" borderId="7" xfId="1" applyNumberFormat="1" applyFont="1" applyBorder="1" applyAlignment="1">
      <alignment vertical="top" wrapText="1"/>
    </xf>
    <xf numFmtId="4" fontId="12" fillId="0" borderId="7" xfId="5" applyNumberFormat="1" applyFont="1" applyBorder="1" applyAlignment="1">
      <alignment vertical="center" wrapText="1"/>
    </xf>
    <xf numFmtId="4" fontId="12" fillId="0" borderId="7" xfId="4" applyNumberFormat="1" applyFont="1" applyBorder="1" applyAlignment="1">
      <alignment vertical="center" wrapText="1"/>
    </xf>
    <xf numFmtId="2" fontId="8" fillId="6" borderId="19" xfId="2" applyNumberFormat="1" applyFont="1" applyFill="1" applyBorder="1" applyAlignment="1">
      <alignment vertical="center" wrapText="1"/>
    </xf>
    <xf numFmtId="2" fontId="8" fillId="0" borderId="22" xfId="2" applyNumberFormat="1" applyFont="1" applyBorder="1" applyAlignment="1">
      <alignment vertical="center" wrapText="1"/>
    </xf>
    <xf numFmtId="0" fontId="8" fillId="3" borderId="7" xfId="2" applyFont="1" applyFill="1" applyBorder="1" applyAlignment="1">
      <alignment horizontal="left" vertical="center" wrapText="1"/>
    </xf>
    <xf numFmtId="4" fontId="12" fillId="0" borderId="3" xfId="2" applyNumberFormat="1" applyFont="1" applyBorder="1" applyAlignment="1">
      <alignment vertical="center" wrapText="1"/>
    </xf>
    <xf numFmtId="4" fontId="8" fillId="0" borderId="32" xfId="2" applyNumberFormat="1" applyFont="1" applyBorder="1" applyAlignment="1">
      <alignment vertical="center" wrapText="1"/>
    </xf>
    <xf numFmtId="4" fontId="8" fillId="0" borderId="33" xfId="2" applyNumberFormat="1" applyFont="1" applyBorder="1" applyAlignment="1">
      <alignment vertical="center" wrapText="1"/>
    </xf>
    <xf numFmtId="49" fontId="8" fillId="6" borderId="21" xfId="2" applyNumberFormat="1" applyFont="1" applyFill="1" applyBorder="1" applyAlignment="1">
      <alignment horizontal="center" vertical="center" wrapText="1"/>
    </xf>
    <xf numFmtId="0" fontId="8" fillId="6" borderId="22" xfId="2" applyFont="1" applyFill="1" applyBorder="1" applyAlignment="1">
      <alignment horizontal="left" vertical="center" wrapText="1"/>
    </xf>
    <xf numFmtId="0" fontId="8" fillId="6" borderId="22" xfId="2" applyFont="1" applyFill="1" applyBorder="1" applyAlignment="1">
      <alignment horizontal="center" vertical="center" wrapText="1"/>
    </xf>
    <xf numFmtId="2" fontId="8" fillId="6" borderId="22" xfId="2" applyNumberFormat="1" applyFont="1" applyFill="1" applyBorder="1" applyAlignment="1">
      <alignment vertical="center" wrapText="1"/>
    </xf>
    <xf numFmtId="4" fontId="8" fillId="6" borderId="34" xfId="2" applyNumberFormat="1" applyFont="1" applyFill="1" applyBorder="1" applyAlignment="1">
      <alignment vertical="center" wrapText="1"/>
    </xf>
    <xf numFmtId="2" fontId="8" fillId="3" borderId="7" xfId="2" applyNumberFormat="1" applyFont="1" applyFill="1" applyBorder="1" applyAlignment="1">
      <alignment vertical="center" wrapText="1"/>
    </xf>
    <xf numFmtId="4" fontId="8" fillId="3" borderId="7" xfId="2" applyNumberFormat="1" applyFont="1" applyFill="1" applyBorder="1" applyAlignment="1">
      <alignment vertical="center" wrapText="1"/>
    </xf>
    <xf numFmtId="4" fontId="14" fillId="0" borderId="7" xfId="8" applyNumberFormat="1" applyFont="1" applyBorder="1" applyAlignment="1">
      <alignment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center" vertical="center" wrapText="1"/>
    </xf>
    <xf numFmtId="2" fontId="8" fillId="0" borderId="7" xfId="2" applyNumberFormat="1" applyFont="1" applyBorder="1" applyAlignment="1">
      <alignment vertical="center" wrapText="1"/>
    </xf>
    <xf numFmtId="4" fontId="12" fillId="0" borderId="7" xfId="2" applyNumberFormat="1" applyFont="1" applyBorder="1" applyAlignment="1">
      <alignment vertical="top" wrapText="1"/>
    </xf>
    <xf numFmtId="4" fontId="14" fillId="0" borderId="7" xfId="9" applyNumberFormat="1" applyFont="1" applyBorder="1" applyAlignment="1">
      <alignment vertical="center" wrapText="1"/>
    </xf>
    <xf numFmtId="4" fontId="12" fillId="4" borderId="7" xfId="2" applyNumberFormat="1" applyFont="1" applyFill="1" applyBorder="1" applyAlignment="1">
      <alignment vertical="top" wrapText="1"/>
    </xf>
    <xf numFmtId="0" fontId="8" fillId="3" borderId="7" xfId="2" applyFont="1" applyFill="1" applyBorder="1" applyAlignment="1">
      <alignment vertical="center" wrapText="1"/>
    </xf>
    <xf numFmtId="4" fontId="8" fillId="0" borderId="6" xfId="2" applyNumberFormat="1" applyFont="1" applyBorder="1" applyAlignment="1">
      <alignment vertical="center" wrapText="1"/>
    </xf>
    <xf numFmtId="10" fontId="12" fillId="0" borderId="6" xfId="2" applyNumberFormat="1" applyFont="1" applyBorder="1" applyAlignment="1">
      <alignment vertical="center" wrapText="1"/>
    </xf>
    <xf numFmtId="4" fontId="12" fillId="0" borderId="8" xfId="2" applyNumberFormat="1" applyFont="1" applyBorder="1" applyAlignment="1">
      <alignment vertical="center" wrapText="1"/>
    </xf>
    <xf numFmtId="4" fontId="12" fillId="4" borderId="3" xfId="2" applyNumberFormat="1" applyFont="1" applyFill="1" applyBorder="1" applyAlignment="1">
      <alignment vertical="center" wrapText="1"/>
    </xf>
    <xf numFmtId="4" fontId="8" fillId="3" borderId="10" xfId="2" applyNumberFormat="1" applyFont="1" applyFill="1" applyBorder="1" applyAlignment="1">
      <alignment vertical="center" wrapText="1"/>
    </xf>
    <xf numFmtId="0" fontId="14" fillId="0" borderId="8" xfId="9" applyFont="1" applyBorder="1" applyAlignment="1">
      <alignment horizontal="center" vertical="center" wrapText="1"/>
    </xf>
    <xf numFmtId="4" fontId="8" fillId="0" borderId="34" xfId="2" applyNumberFormat="1" applyFont="1" applyBorder="1" applyAlignment="1">
      <alignment vertical="center" wrapText="1"/>
    </xf>
    <xf numFmtId="10" fontId="12" fillId="0" borderId="10" xfId="2" applyNumberFormat="1" applyFont="1" applyBorder="1" applyAlignment="1">
      <alignment vertical="center" wrapText="1"/>
    </xf>
    <xf numFmtId="4" fontId="8" fillId="6" borderId="32" xfId="2" applyNumberFormat="1" applyFont="1" applyFill="1" applyBorder="1" applyAlignment="1">
      <alignment vertical="center" wrapText="1"/>
    </xf>
    <xf numFmtId="4" fontId="8" fillId="0" borderId="35" xfId="2" applyNumberFormat="1" applyFont="1" applyBorder="1" applyAlignment="1">
      <alignment vertical="center" wrapText="1"/>
    </xf>
    <xf numFmtId="4" fontId="8" fillId="0" borderId="36" xfId="2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horizontal="right" vertical="center"/>
    </xf>
    <xf numFmtId="4" fontId="3" fillId="0" borderId="0" xfId="1" applyNumberFormat="1"/>
    <xf numFmtId="4" fontId="12" fillId="0" borderId="7" xfId="7" applyNumberFormat="1" applyFont="1" applyBorder="1" applyAlignment="1">
      <alignment vertical="center"/>
    </xf>
    <xf numFmtId="4" fontId="12" fillId="0" borderId="7" xfId="7" applyNumberFormat="1" applyFont="1" applyBorder="1"/>
    <xf numFmtId="4" fontId="12" fillId="0" borderId="7" xfId="5" applyNumberFormat="1" applyFont="1" applyBorder="1" applyAlignment="1">
      <alignment vertical="top" wrapText="1"/>
    </xf>
    <xf numFmtId="4" fontId="12" fillId="0" borderId="7" xfId="7" applyNumberFormat="1" applyFont="1" applyBorder="1" applyAlignment="1">
      <alignment wrapText="1"/>
    </xf>
    <xf numFmtId="4" fontId="12" fillId="0" borderId="7" xfId="7" applyNumberFormat="1" applyFont="1" applyBorder="1" applyAlignment="1">
      <alignment vertical="top" wrapText="1"/>
    </xf>
    <xf numFmtId="4" fontId="14" fillId="5" borderId="7" xfId="4" applyNumberFormat="1" applyFont="1" applyFill="1" applyBorder="1" applyAlignment="1">
      <alignment vertical="center" wrapText="1"/>
    </xf>
    <xf numFmtId="4" fontId="12" fillId="0" borderId="3" xfId="7" applyNumberFormat="1" applyFont="1" applyBorder="1" applyAlignment="1">
      <alignment wrapText="1"/>
    </xf>
    <xf numFmtId="4" fontId="12" fillId="0" borderId="10" xfId="7" applyNumberFormat="1" applyFont="1" applyBorder="1" applyAlignment="1">
      <alignment wrapText="1"/>
    </xf>
    <xf numFmtId="4" fontId="12" fillId="5" borderId="7" xfId="4" applyNumberFormat="1" applyFont="1" applyFill="1" applyBorder="1" applyAlignment="1">
      <alignment vertical="center" wrapText="1"/>
    </xf>
    <xf numFmtId="4" fontId="12" fillId="0" borderId="8" xfId="5" applyNumberFormat="1" applyFont="1" applyBorder="1" applyAlignment="1">
      <alignment vertical="top" wrapText="1"/>
    </xf>
    <xf numFmtId="4" fontId="3" fillId="0" borderId="0" xfId="0" applyNumberFormat="1" applyFont="1"/>
    <xf numFmtId="4" fontId="3" fillId="0" borderId="17" xfId="0" applyNumberFormat="1" applyFont="1" applyBorder="1"/>
    <xf numFmtId="4" fontId="21" fillId="0" borderId="27" xfId="0" applyNumberFormat="1" applyFont="1" applyBorder="1" applyAlignment="1">
      <alignment horizontal="center" vertical="center"/>
    </xf>
    <xf numFmtId="166" fontId="3" fillId="0" borderId="0" xfId="1" applyNumberFormat="1"/>
    <xf numFmtId="49" fontId="12" fillId="4" borderId="37" xfId="2" applyNumberFormat="1" applyFont="1" applyFill="1" applyBorder="1" applyAlignment="1">
      <alignment horizontal="center" vertical="center"/>
    </xf>
    <xf numFmtId="49" fontId="12" fillId="0" borderId="37" xfId="2" applyNumberFormat="1" applyFont="1" applyBorder="1" applyAlignment="1">
      <alignment horizontal="right" vertical="center"/>
    </xf>
    <xf numFmtId="49" fontId="12" fillId="0" borderId="37" xfId="2" applyNumberFormat="1" applyFont="1" applyBorder="1" applyAlignment="1">
      <alignment horizontal="center" vertical="center"/>
    </xf>
    <xf numFmtId="0" fontId="11" fillId="0" borderId="37" xfId="4" applyFont="1" applyBorder="1" applyAlignment="1">
      <alignment horizontal="center" vertical="center" wrapText="1"/>
    </xf>
    <xf numFmtId="49" fontId="8" fillId="3" borderId="37" xfId="2" applyNumberFormat="1" applyFont="1" applyFill="1" applyBorder="1" applyAlignment="1">
      <alignment horizontal="center" vertical="center" wrapText="1"/>
    </xf>
    <xf numFmtId="49" fontId="8" fillId="0" borderId="37" xfId="2" applyNumberFormat="1" applyFont="1" applyBorder="1" applyAlignment="1">
      <alignment horizontal="center" vertical="center" wrapText="1"/>
    </xf>
    <xf numFmtId="49" fontId="12" fillId="4" borderId="37" xfId="1" applyNumberFormat="1" applyFont="1" applyFill="1" applyBorder="1" applyAlignment="1">
      <alignment horizontal="center" vertical="top"/>
    </xf>
    <xf numFmtId="49" fontId="12" fillId="0" borderId="37" xfId="1" applyNumberFormat="1" applyFont="1" applyBorder="1" applyAlignment="1">
      <alignment horizontal="right" vertical="top"/>
    </xf>
    <xf numFmtId="49" fontId="12" fillId="0" borderId="37" xfId="1" applyNumberFormat="1" applyFont="1" applyBorder="1" applyAlignment="1">
      <alignment horizontal="center" vertical="top"/>
    </xf>
    <xf numFmtId="0" fontId="8" fillId="3" borderId="37" xfId="2" applyFont="1" applyFill="1" applyBorder="1" applyAlignment="1">
      <alignment horizontal="center" vertical="center" wrapText="1"/>
    </xf>
    <xf numFmtId="0" fontId="12" fillId="0" borderId="37" xfId="5" applyFont="1" applyBorder="1" applyAlignment="1">
      <alignment horizontal="right" vertical="top"/>
    </xf>
    <xf numFmtId="49" fontId="12" fillId="0" borderId="38" xfId="1" applyNumberFormat="1" applyFont="1" applyBorder="1" applyAlignment="1">
      <alignment horizontal="right" vertical="top"/>
    </xf>
    <xf numFmtId="4" fontId="3" fillId="8" borderId="6" xfId="1" applyNumberFormat="1" applyFill="1" applyBorder="1"/>
    <xf numFmtId="4" fontId="3" fillId="0" borderId="3" xfId="1" applyNumberFormat="1" applyBorder="1"/>
    <xf numFmtId="4" fontId="3" fillId="0" borderId="39" xfId="1" applyNumberFormat="1" applyBorder="1"/>
    <xf numFmtId="4" fontId="3" fillId="0" borderId="10" xfId="1" applyNumberFormat="1" applyBorder="1"/>
    <xf numFmtId="4" fontId="24" fillId="0" borderId="7" xfId="5" applyNumberFormat="1" applyFont="1" applyBorder="1" applyAlignment="1">
      <alignment vertical="top" wrapText="1"/>
    </xf>
    <xf numFmtId="0" fontId="24" fillId="0" borderId="7" xfId="5" applyFont="1" applyBorder="1" applyAlignment="1">
      <alignment vertical="top" wrapText="1"/>
    </xf>
    <xf numFmtId="4" fontId="24" fillId="0" borderId="7" xfId="2" applyNumberFormat="1" applyFont="1" applyBorder="1" applyAlignment="1">
      <alignment vertical="center" wrapText="1"/>
    </xf>
    <xf numFmtId="49" fontId="8" fillId="3" borderId="40" xfId="2" applyNumberFormat="1" applyFont="1" applyFill="1" applyBorder="1" applyAlignment="1">
      <alignment horizontal="center" vertical="center" wrapText="1"/>
    </xf>
    <xf numFmtId="0" fontId="8" fillId="3" borderId="41" xfId="2" applyFont="1" applyFill="1" applyBorder="1" applyAlignment="1">
      <alignment horizontal="left" vertical="center" wrapText="1"/>
    </xf>
    <xf numFmtId="2" fontId="8" fillId="3" borderId="41" xfId="2" applyNumberFormat="1" applyFont="1" applyFill="1" applyBorder="1" applyAlignment="1">
      <alignment horizontal="left" vertical="center" wrapText="1"/>
    </xf>
    <xf numFmtId="4" fontId="8" fillId="3" borderId="41" xfId="2" applyNumberFormat="1" applyFont="1" applyFill="1" applyBorder="1" applyAlignment="1">
      <alignment horizontal="left" vertical="center" wrapText="1"/>
    </xf>
    <xf numFmtId="0" fontId="26" fillId="0" borderId="0" xfId="1" applyFont="1" applyAlignment="1">
      <alignment vertical="center"/>
    </xf>
    <xf numFmtId="4" fontId="26" fillId="0" borderId="0" xfId="1" applyNumberFormat="1" applyFont="1" applyAlignment="1">
      <alignment vertical="center"/>
    </xf>
    <xf numFmtId="0" fontId="27" fillId="0" borderId="0" xfId="1" applyFont="1"/>
    <xf numFmtId="0" fontId="26" fillId="0" borderId="0" xfId="1" applyFont="1" applyAlignment="1" applyProtection="1">
      <alignment vertical="center"/>
      <protection locked="0"/>
    </xf>
    <xf numFmtId="0" fontId="12" fillId="0" borderId="7" xfId="3" applyFont="1" applyBorder="1" applyAlignment="1">
      <alignment vertical="top" wrapText="1"/>
    </xf>
    <xf numFmtId="165" fontId="0" fillId="0" borderId="0" xfId="0" applyNumberFormat="1"/>
    <xf numFmtId="49" fontId="23" fillId="2" borderId="43" xfId="2" applyNumberFormat="1" applyFont="1" applyFill="1" applyBorder="1" applyAlignment="1">
      <alignment vertical="center" wrapText="1"/>
    </xf>
    <xf numFmtId="49" fontId="23" fillId="2" borderId="44" xfId="2" applyNumberFormat="1" applyFont="1" applyFill="1" applyBorder="1" applyAlignment="1">
      <alignment vertical="center" wrapText="1"/>
    </xf>
    <xf numFmtId="49" fontId="4" fillId="0" borderId="32" xfId="1" applyNumberFormat="1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0" fontId="4" fillId="0" borderId="32" xfId="1" applyFont="1" applyBorder="1" applyAlignment="1">
      <alignment vertical="center" wrapText="1"/>
    </xf>
    <xf numFmtId="0" fontId="8" fillId="0" borderId="32" xfId="1" applyFont="1" applyBorder="1" applyAlignment="1">
      <alignment vertical="center"/>
    </xf>
    <xf numFmtId="0" fontId="4" fillId="0" borderId="32" xfId="1" applyFont="1" applyBorder="1" applyAlignment="1">
      <alignment horizontal="center" vertical="center"/>
    </xf>
    <xf numFmtId="4" fontId="4" fillId="0" borderId="32" xfId="1" applyNumberFormat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49" fontId="23" fillId="2" borderId="45" xfId="2" applyNumberFormat="1" applyFont="1" applyFill="1" applyBorder="1" applyAlignment="1">
      <alignment vertical="center" wrapText="1"/>
    </xf>
    <xf numFmtId="0" fontId="16" fillId="0" borderId="0" xfId="0" applyFont="1"/>
    <xf numFmtId="0" fontId="16" fillId="0" borderId="17" xfId="0" applyFont="1" applyBorder="1"/>
    <xf numFmtId="0" fontId="16" fillId="0" borderId="0" xfId="0" applyFont="1" applyAlignment="1">
      <alignment horizontal="center" vertical="center"/>
    </xf>
    <xf numFmtId="0" fontId="12" fillId="0" borderId="7" xfId="4" applyFont="1" applyBorder="1" applyAlignment="1">
      <alignment horizontal="left" vertical="center" wrapText="1"/>
    </xf>
    <xf numFmtId="0" fontId="12" fillId="0" borderId="10" xfId="7" applyFont="1" applyBorder="1" applyAlignment="1">
      <alignment vertical="top" wrapText="1"/>
    </xf>
    <xf numFmtId="0" fontId="12" fillId="0" borderId="7" xfId="3" applyFont="1" applyBorder="1"/>
    <xf numFmtId="4" fontId="8" fillId="3" borderId="46" xfId="2" applyNumberFormat="1" applyFont="1" applyFill="1" applyBorder="1" applyAlignment="1">
      <alignment horizontal="left" vertical="center" wrapText="1"/>
    </xf>
    <xf numFmtId="49" fontId="8" fillId="0" borderId="48" xfId="2" applyNumberFormat="1" applyFont="1" applyBorder="1" applyAlignment="1">
      <alignment horizontal="center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center" vertical="center" wrapText="1"/>
    </xf>
    <xf numFmtId="2" fontId="8" fillId="0" borderId="49" xfId="2" applyNumberFormat="1" applyFont="1" applyBorder="1" applyAlignment="1">
      <alignment vertical="center" wrapText="1"/>
    </xf>
    <xf numFmtId="4" fontId="8" fillId="0" borderId="50" xfId="2" applyNumberFormat="1" applyFont="1" applyBorder="1" applyAlignment="1">
      <alignment vertical="center" wrapText="1"/>
    </xf>
    <xf numFmtId="49" fontId="8" fillId="0" borderId="47" xfId="2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2" fontId="8" fillId="0" borderId="3" xfId="2" applyNumberFormat="1" applyFont="1" applyBorder="1" applyAlignment="1">
      <alignment vertical="center" wrapText="1"/>
    </xf>
    <xf numFmtId="4" fontId="8" fillId="0" borderId="51" xfId="2" applyNumberFormat="1" applyFont="1" applyBorder="1" applyAlignment="1">
      <alignment vertical="center" wrapText="1"/>
    </xf>
    <xf numFmtId="2" fontId="8" fillId="3" borderId="7" xfId="2" applyNumberFormat="1" applyFont="1" applyFill="1" applyBorder="1" applyAlignment="1">
      <alignment horizontal="left" vertical="center" wrapText="1"/>
    </xf>
    <xf numFmtId="4" fontId="8" fillId="3" borderId="7" xfId="2" applyNumberFormat="1" applyFont="1" applyFill="1" applyBorder="1" applyAlignment="1">
      <alignment horizontal="left" vertical="center" wrapText="1"/>
    </xf>
    <xf numFmtId="0" fontId="12" fillId="4" borderId="7" xfId="3" applyFont="1" applyFill="1" applyBorder="1" applyAlignment="1">
      <alignment horizontal="left" vertical="top" wrapText="1"/>
    </xf>
    <xf numFmtId="1" fontId="12" fillId="4" borderId="7" xfId="2" applyNumberFormat="1" applyFont="1" applyFill="1" applyBorder="1" applyAlignment="1">
      <alignment horizontal="center" vertical="center" wrapText="1"/>
    </xf>
    <xf numFmtId="4" fontId="12" fillId="4" borderId="16" xfId="2" applyNumberFormat="1" applyFont="1" applyFill="1" applyBorder="1" applyAlignment="1">
      <alignment vertical="center" wrapText="1"/>
    </xf>
    <xf numFmtId="49" fontId="12" fillId="4" borderId="47" xfId="2" applyNumberFormat="1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left" vertical="top" wrapText="1"/>
    </xf>
    <xf numFmtId="0" fontId="11" fillId="4" borderId="3" xfId="4" applyFont="1" applyFill="1" applyBorder="1" applyAlignment="1">
      <alignment horizontal="center" vertical="center" wrapText="1"/>
    </xf>
    <xf numFmtId="1" fontId="12" fillId="4" borderId="3" xfId="2" applyNumberFormat="1" applyFont="1" applyFill="1" applyBorder="1" applyAlignment="1">
      <alignment horizontal="center" vertical="center" wrapText="1"/>
    </xf>
    <xf numFmtId="4" fontId="12" fillId="4" borderId="42" xfId="2" applyNumberFormat="1" applyFont="1" applyFill="1" applyBorder="1" applyAlignment="1">
      <alignment vertical="center" wrapText="1"/>
    </xf>
    <xf numFmtId="4" fontId="12" fillId="4" borderId="51" xfId="2" applyNumberFormat="1" applyFont="1" applyFill="1" applyBorder="1" applyAlignment="1">
      <alignment vertical="center" wrapText="1"/>
    </xf>
    <xf numFmtId="4" fontId="12" fillId="4" borderId="6" xfId="2" applyNumberFormat="1" applyFont="1" applyFill="1" applyBorder="1" applyAlignment="1">
      <alignment vertical="center" wrapText="1"/>
    </xf>
    <xf numFmtId="49" fontId="12" fillId="8" borderId="37" xfId="1" applyNumberFormat="1" applyFont="1" applyFill="1" applyBorder="1" applyAlignment="1">
      <alignment horizontal="center" vertical="top"/>
    </xf>
    <xf numFmtId="10" fontId="12" fillId="8" borderId="3" xfId="2" applyNumberFormat="1" applyFont="1" applyFill="1" applyBorder="1" applyAlignment="1">
      <alignment vertical="center" wrapText="1"/>
    </xf>
    <xf numFmtId="4" fontId="12" fillId="8" borderId="7" xfId="5" applyNumberFormat="1" applyFont="1" applyFill="1" applyBorder="1" applyAlignment="1">
      <alignment vertical="top" wrapText="1"/>
    </xf>
    <xf numFmtId="4" fontId="12" fillId="8" borderId="7" xfId="2" applyNumberFormat="1" applyFont="1" applyFill="1" applyBorder="1" applyAlignment="1">
      <alignment vertical="center" wrapText="1"/>
    </xf>
    <xf numFmtId="0" fontId="12" fillId="4" borderId="8" xfId="1" applyFont="1" applyFill="1" applyBorder="1" applyAlignment="1">
      <alignment vertical="top" wrapText="1"/>
    </xf>
    <xf numFmtId="0" fontId="12" fillId="8" borderId="8" xfId="7" applyFont="1" applyFill="1" applyBorder="1" applyAlignment="1">
      <alignment horizontal="center"/>
    </xf>
    <xf numFmtId="0" fontId="12" fillId="0" borderId="52" xfId="7" applyFont="1" applyBorder="1" applyAlignment="1">
      <alignment horizontal="center"/>
    </xf>
    <xf numFmtId="0" fontId="28" fillId="8" borderId="7" xfId="0" applyFont="1" applyFill="1" applyBorder="1" applyAlignment="1">
      <alignment vertical="center" wrapText="1"/>
    </xf>
    <xf numFmtId="0" fontId="12" fillId="0" borderId="3" xfId="3" applyFont="1" applyBorder="1" applyAlignment="1">
      <alignment horizontal="left" vertical="top" wrapText="1"/>
    </xf>
    <xf numFmtId="10" fontId="12" fillId="0" borderId="7" xfId="1" applyNumberFormat="1" applyFont="1" applyBorder="1" applyAlignment="1">
      <alignment vertical="top" wrapText="1"/>
    </xf>
    <xf numFmtId="4" fontId="12" fillId="0" borderId="6" xfId="2" applyNumberFormat="1" applyFont="1" applyBorder="1" applyAlignment="1">
      <alignment vertical="center" wrapText="1"/>
    </xf>
    <xf numFmtId="4" fontId="12" fillId="0" borderId="16" xfId="2" applyNumberFormat="1" applyFont="1" applyBorder="1" applyAlignment="1">
      <alignment vertical="center" wrapText="1"/>
    </xf>
    <xf numFmtId="0" fontId="12" fillId="4" borderId="7" xfId="1" applyFont="1" applyFill="1" applyBorder="1" applyAlignment="1">
      <alignment horizontal="center" vertical="top" wrapText="1"/>
    </xf>
    <xf numFmtId="0" fontId="22" fillId="0" borderId="0" xfId="0" applyFont="1" applyAlignment="1">
      <alignment horizontal="left" vertical="center" wrapText="1"/>
    </xf>
    <xf numFmtId="0" fontId="25" fillId="0" borderId="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</cellXfs>
  <cellStyles count="11">
    <cellStyle name="Excel Built-in Normal" xfId="2" xr:uid="{8419E1DC-AC18-49F4-B82A-9DEEB471FBB8}"/>
    <cellStyle name="Normal" xfId="0" builtinId="0"/>
    <cellStyle name="Normal 2" xfId="3" xr:uid="{F311EBBF-8FF1-41B2-B7BC-F74F999E38D2}"/>
    <cellStyle name="Normal 3" xfId="5" xr:uid="{656EDA6F-78F6-4260-A95D-EFE0A3BF1F4C}"/>
    <cellStyle name="Normal 4" xfId="10" xr:uid="{E6EF12FC-357D-45F2-A9C3-CA7EDA7F1E90}"/>
    <cellStyle name="Normal 5 2" xfId="1" xr:uid="{38AF876B-6ED6-4F6C-9EE3-4191A7F87EB8}"/>
    <cellStyle name="Normal 6 2 2" xfId="9" xr:uid="{6CB5238A-EB11-42B4-9D91-3BBABB773E3D}"/>
    <cellStyle name="Normal 6 3" xfId="8" xr:uid="{8406ACD0-6EB4-4B16-9638-FE95C0B82484}"/>
    <cellStyle name="Normal 7" xfId="4" xr:uid="{E3B06F57-A48D-438C-8AC6-1ED493D8CC52}"/>
    <cellStyle name="Normal_El Aabde" xfId="7" xr:uid="{76099E04-27F8-40FE-B39C-3FCE998E53F7}"/>
    <cellStyle name="Percent 5" xfId="6" xr:uid="{33193F97-8248-40B7-9290-5B6A1E95FA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targinta.sharepoint.com/personal/oksana_timofejeva_arginta_lt/Documents/Desktop/VV%20II%20ETAPAS/Detal&#363;s%20&#382;iniara&#353;&#269;iai-%20KONFIDENCIALU%20_5%20pozicij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ltarginta.sharepoint.com/sites/ArgintaData/VANDENTVARKA/NV/01_Vykdomi%20projektai/68%20TL%2012-21%20Vilniaus%20NVI%20rekonstrukcija%20II%20etapas/03-Biudzetas/3.1-Ziniarasciai/3.1.2-Projekto%20vykdymo/PVZAktas%20Nr.6_SUT20-P-285.xls?3719FD4E" TargetMode="External"/><Relationship Id="rId1" Type="http://schemas.openxmlformats.org/officeDocument/2006/relationships/externalLinkPath" Target="file:///\\3719FD4E\PVZAktas%20Nr.6_SUT20-P-28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Žiniaraštis"/>
      <sheetName val="Automat"/>
      <sheetName val="El"/>
      <sheetName val="VENT"/>
      <sheetName val="Kel"/>
      <sheetName val="1zin"/>
      <sheetName val="2Cla"/>
      <sheetName val="6kam"/>
      <sheetName val="9tret"/>
      <sheetName val="11VNS"/>
      <sheetName val="5ispl"/>
      <sheetName val="10 DS"/>
      <sheetName val="14 Cla"/>
      <sheetName val="Kameros"/>
      <sheetName val="Ispludos"/>
      <sheetName val="Tret pastat"/>
      <sheetName val="DS"/>
      <sheetName val="Vamzd"/>
    </sheetNames>
    <sheetDataSet>
      <sheetData sheetId="0">
        <row r="33">
          <cell r="B33" t="str">
            <v>Geologiniai tyrimai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ąmata"/>
      <sheetName val="Suvestinis_supaprastintas_aktas"/>
    </sheetNames>
    <sheetDataSet>
      <sheetData sheetId="0">
        <row r="169">
          <cell r="F16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15"/>
  <sheetViews>
    <sheetView tabSelected="1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385" sqref="B385"/>
    </sheetView>
  </sheetViews>
  <sheetFormatPr defaultColWidth="9.6640625" defaultRowHeight="14.4" x14ac:dyDescent="0.3"/>
  <cols>
    <col min="1" max="1" width="8.44140625" style="20" customWidth="1"/>
    <col min="2" max="2" width="55.6640625" style="1" customWidth="1"/>
    <col min="3" max="4" width="9.6640625" style="1" customWidth="1"/>
    <col min="5" max="6" width="15" style="123" customWidth="1"/>
    <col min="7" max="16384" width="9.6640625" style="1"/>
  </cols>
  <sheetData>
    <row r="1" spans="1:6" s="163" customFormat="1" ht="36.6" customHeight="1" x14ac:dyDescent="0.3">
      <c r="A1" s="161" t="s">
        <v>0</v>
      </c>
      <c r="B1" s="161"/>
      <c r="C1" s="219" t="s">
        <v>1</v>
      </c>
      <c r="D1" s="219"/>
      <c r="E1" s="219"/>
      <c r="F1" s="219"/>
    </row>
    <row r="2" spans="1:6" s="163" customFormat="1" ht="15.6" x14ac:dyDescent="0.3">
      <c r="A2" s="161" t="s">
        <v>2</v>
      </c>
      <c r="B2" s="161"/>
      <c r="C2" s="161" t="s">
        <v>3</v>
      </c>
      <c r="D2" s="161"/>
      <c r="E2" s="162"/>
      <c r="F2" s="162"/>
    </row>
    <row r="3" spans="1:6" s="163" customFormat="1" ht="15.6" x14ac:dyDescent="0.3">
      <c r="A3" s="161" t="s">
        <v>4</v>
      </c>
      <c r="B3" s="161"/>
      <c r="C3" s="161" t="s">
        <v>5</v>
      </c>
      <c r="D3" s="161"/>
      <c r="E3" s="162"/>
      <c r="F3" s="162"/>
    </row>
    <row r="4" spans="1:6" s="163" customFormat="1" ht="15.6" x14ac:dyDescent="0.3">
      <c r="A4" s="161" t="s">
        <v>6</v>
      </c>
      <c r="B4" s="161"/>
      <c r="C4" s="164" t="s">
        <v>7</v>
      </c>
      <c r="D4" s="161"/>
      <c r="E4" s="162"/>
      <c r="F4" s="162"/>
    </row>
    <row r="5" spans="1:6" ht="18" thickBot="1" x14ac:dyDescent="0.35">
      <c r="A5" s="220" t="s">
        <v>508</v>
      </c>
      <c r="B5" s="220"/>
      <c r="C5" s="220"/>
      <c r="D5" s="220"/>
      <c r="E5" s="220"/>
      <c r="F5" s="220"/>
    </row>
    <row r="6" spans="1:6" ht="28.95" customHeight="1" thickBot="1" x14ac:dyDescent="0.35">
      <c r="A6" s="169" t="s">
        <v>8</v>
      </c>
      <c r="B6" s="170" t="s">
        <v>9</v>
      </c>
      <c r="C6" s="175" t="s">
        <v>10</v>
      </c>
      <c r="D6" s="172" t="s">
        <v>11</v>
      </c>
      <c r="E6" s="172"/>
      <c r="F6" s="172"/>
    </row>
    <row r="7" spans="1:6" ht="33" customHeight="1" thickBot="1" x14ac:dyDescent="0.35">
      <c r="A7" s="169"/>
      <c r="B7" s="170"/>
      <c r="C7" s="171"/>
      <c r="D7" s="173" t="s">
        <v>12</v>
      </c>
      <c r="E7" s="174" t="s">
        <v>13</v>
      </c>
      <c r="F7" s="174" t="s">
        <v>14</v>
      </c>
    </row>
    <row r="8" spans="1:6" ht="15" customHeight="1" thickBot="1" x14ac:dyDescent="0.35">
      <c r="A8" s="176"/>
      <c r="B8" s="167"/>
      <c r="C8" s="167"/>
      <c r="D8" s="167"/>
      <c r="E8" s="167"/>
      <c r="F8" s="168"/>
    </row>
    <row r="9" spans="1:6" x14ac:dyDescent="0.3">
      <c r="A9" s="157">
        <v>1</v>
      </c>
      <c r="B9" s="158" t="s">
        <v>15</v>
      </c>
      <c r="C9" s="158"/>
      <c r="D9" s="159"/>
      <c r="E9" s="160"/>
      <c r="F9" s="160"/>
    </row>
    <row r="10" spans="1:6" x14ac:dyDescent="0.3">
      <c r="A10" s="138" t="s">
        <v>16</v>
      </c>
      <c r="B10" s="18" t="s">
        <v>17</v>
      </c>
      <c r="C10" s="46" t="s">
        <v>18</v>
      </c>
      <c r="D10" s="77">
        <v>1</v>
      </c>
      <c r="E10" s="78">
        <f>SUM(F11:F12)</f>
        <v>1615</v>
      </c>
      <c r="F10" s="79">
        <f t="shared" ref="F10:F36" si="0">ROUND(D10*E10,2)</f>
        <v>1615</v>
      </c>
    </row>
    <row r="11" spans="1:6" x14ac:dyDescent="0.3">
      <c r="A11" s="139" t="s">
        <v>19</v>
      </c>
      <c r="B11" s="47" t="s">
        <v>20</v>
      </c>
      <c r="C11" s="2" t="s">
        <v>18</v>
      </c>
      <c r="D11" s="80">
        <v>1</v>
      </c>
      <c r="E11" s="81">
        <v>1500</v>
      </c>
      <c r="F11" s="81">
        <f t="shared" si="0"/>
        <v>1500</v>
      </c>
    </row>
    <row r="12" spans="1:6" x14ac:dyDescent="0.3">
      <c r="A12" s="139" t="s">
        <v>21</v>
      </c>
      <c r="B12" s="47" t="s">
        <v>22</v>
      </c>
      <c r="C12" s="2" t="s">
        <v>18</v>
      </c>
      <c r="D12" s="80">
        <v>1</v>
      </c>
      <c r="E12" s="81">
        <f>100*$E$401</f>
        <v>114.99999999999999</v>
      </c>
      <c r="F12" s="81">
        <f t="shared" si="0"/>
        <v>115</v>
      </c>
    </row>
    <row r="13" spans="1:6" collapsed="1" x14ac:dyDescent="0.3">
      <c r="A13" s="138" t="s">
        <v>23</v>
      </c>
      <c r="B13" s="48" t="s">
        <v>24</v>
      </c>
      <c r="C13" s="3" t="s">
        <v>18</v>
      </c>
      <c r="D13" s="77">
        <v>1</v>
      </c>
      <c r="E13" s="78">
        <f>SUM(F14:F18)</f>
        <v>43125</v>
      </c>
      <c r="F13" s="79">
        <f t="shared" si="0"/>
        <v>43125</v>
      </c>
    </row>
    <row r="14" spans="1:6" x14ac:dyDescent="0.3">
      <c r="A14" s="139" t="s">
        <v>25</v>
      </c>
      <c r="B14" s="47" t="s">
        <v>26</v>
      </c>
      <c r="C14" s="2" t="s">
        <v>18</v>
      </c>
      <c r="D14" s="80">
        <v>1</v>
      </c>
      <c r="E14" s="81">
        <f>15000*$E$401</f>
        <v>17250</v>
      </c>
      <c r="F14" s="81">
        <f t="shared" si="0"/>
        <v>17250</v>
      </c>
    </row>
    <row r="15" spans="1:6" x14ac:dyDescent="0.3">
      <c r="A15" s="139" t="s">
        <v>27</v>
      </c>
      <c r="B15" s="47" t="s">
        <v>28</v>
      </c>
      <c r="C15" s="2" t="s">
        <v>18</v>
      </c>
      <c r="D15" s="80">
        <v>1</v>
      </c>
      <c r="E15" s="81">
        <f>10000*$E$401</f>
        <v>11500</v>
      </c>
      <c r="F15" s="81">
        <f t="shared" si="0"/>
        <v>11500</v>
      </c>
    </row>
    <row r="16" spans="1:6" ht="27.6" x14ac:dyDescent="0.3">
      <c r="A16" s="139" t="s">
        <v>29</v>
      </c>
      <c r="B16" s="47" t="s">
        <v>30</v>
      </c>
      <c r="C16" s="2" t="s">
        <v>18</v>
      </c>
      <c r="D16" s="80">
        <v>1</v>
      </c>
      <c r="E16" s="81">
        <f>1500*$E$401</f>
        <v>1724.9999999999998</v>
      </c>
      <c r="F16" s="81">
        <f t="shared" si="0"/>
        <v>1725</v>
      </c>
    </row>
    <row r="17" spans="1:6" x14ac:dyDescent="0.3">
      <c r="A17" s="139" t="s">
        <v>31</v>
      </c>
      <c r="B17" s="47" t="s">
        <v>32</v>
      </c>
      <c r="C17" s="2" t="s">
        <v>18</v>
      </c>
      <c r="D17" s="80">
        <v>1</v>
      </c>
      <c r="E17" s="81">
        <f>6000*$E$401</f>
        <v>6899.9999999999991</v>
      </c>
      <c r="F17" s="81">
        <f t="shared" si="0"/>
        <v>6900</v>
      </c>
    </row>
    <row r="18" spans="1:6" x14ac:dyDescent="0.3">
      <c r="A18" s="139" t="s">
        <v>33</v>
      </c>
      <c r="B18" s="47" t="s">
        <v>34</v>
      </c>
      <c r="C18" s="2" t="s">
        <v>18</v>
      </c>
      <c r="D18" s="80">
        <v>1</v>
      </c>
      <c r="E18" s="81">
        <f>5000*$E$401</f>
        <v>5750</v>
      </c>
      <c r="F18" s="81">
        <f t="shared" si="0"/>
        <v>5750</v>
      </c>
    </row>
    <row r="19" spans="1:6" collapsed="1" x14ac:dyDescent="0.3">
      <c r="A19" s="138" t="s">
        <v>35</v>
      </c>
      <c r="B19" s="18" t="s">
        <v>36</v>
      </c>
      <c r="C19" s="3" t="s">
        <v>18</v>
      </c>
      <c r="D19" s="77">
        <v>1</v>
      </c>
      <c r="E19" s="78">
        <f>SUM(F20:F24)</f>
        <v>620222.5</v>
      </c>
      <c r="F19" s="79">
        <f t="shared" si="0"/>
        <v>620222.5</v>
      </c>
    </row>
    <row r="20" spans="1:6" x14ac:dyDescent="0.3">
      <c r="A20" s="140" t="s">
        <v>37</v>
      </c>
      <c r="B20" s="47" t="s">
        <v>38</v>
      </c>
      <c r="C20" s="2" t="s">
        <v>18</v>
      </c>
      <c r="D20" s="80">
        <v>1</v>
      </c>
      <c r="E20" s="81">
        <v>30000</v>
      </c>
      <c r="F20" s="81">
        <f t="shared" si="0"/>
        <v>30000</v>
      </c>
    </row>
    <row r="21" spans="1:6" x14ac:dyDescent="0.3">
      <c r="A21" s="140" t="s">
        <v>39</v>
      </c>
      <c r="B21" s="47" t="s">
        <v>40</v>
      </c>
      <c r="C21" s="2" t="s">
        <v>18</v>
      </c>
      <c r="D21" s="80">
        <v>1</v>
      </c>
      <c r="E21" s="81">
        <v>45000</v>
      </c>
      <c r="F21" s="81">
        <f t="shared" si="0"/>
        <v>45000</v>
      </c>
    </row>
    <row r="22" spans="1:6" x14ac:dyDescent="0.3">
      <c r="A22" s="140" t="s">
        <v>41</v>
      </c>
      <c r="B22" s="47" t="s">
        <v>42</v>
      </c>
      <c r="C22" s="2" t="s">
        <v>18</v>
      </c>
      <c r="D22" s="80">
        <v>1</v>
      </c>
      <c r="E22" s="81">
        <v>215000</v>
      </c>
      <c r="F22" s="81">
        <f t="shared" si="0"/>
        <v>215000</v>
      </c>
    </row>
    <row r="23" spans="1:6" x14ac:dyDescent="0.3">
      <c r="A23" s="140" t="s">
        <v>43</v>
      </c>
      <c r="B23" s="47" t="s">
        <v>44</v>
      </c>
      <c r="C23" s="2" t="s">
        <v>18</v>
      </c>
      <c r="D23" s="80">
        <v>1</v>
      </c>
      <c r="E23" s="81">
        <f>247150*$E$401</f>
        <v>284222.5</v>
      </c>
      <c r="F23" s="81">
        <f t="shared" si="0"/>
        <v>284222.5</v>
      </c>
    </row>
    <row r="24" spans="1:6" ht="27.6" x14ac:dyDescent="0.3">
      <c r="A24" s="140" t="s">
        <v>45</v>
      </c>
      <c r="B24" s="47" t="s">
        <v>46</v>
      </c>
      <c r="C24" s="2" t="s">
        <v>18</v>
      </c>
      <c r="D24" s="80">
        <v>1</v>
      </c>
      <c r="E24" s="81">
        <f>40000*$E$401</f>
        <v>46000</v>
      </c>
      <c r="F24" s="81">
        <f t="shared" si="0"/>
        <v>46000</v>
      </c>
    </row>
    <row r="25" spans="1:6" collapsed="1" x14ac:dyDescent="0.3">
      <c r="A25" s="138" t="s">
        <v>47</v>
      </c>
      <c r="B25" s="18" t="s">
        <v>48</v>
      </c>
      <c r="C25" s="3" t="s">
        <v>18</v>
      </c>
      <c r="D25" s="77">
        <v>1</v>
      </c>
      <c r="E25" s="78">
        <f>SUM(F26:F30)</f>
        <v>245999.2</v>
      </c>
      <c r="F25" s="79">
        <f t="shared" si="0"/>
        <v>245999.2</v>
      </c>
    </row>
    <row r="26" spans="1:6" x14ac:dyDescent="0.3">
      <c r="A26" s="141" t="s">
        <v>49</v>
      </c>
      <c r="B26" s="47" t="s">
        <v>50</v>
      </c>
      <c r="C26" s="2" t="s">
        <v>18</v>
      </c>
      <c r="D26" s="80">
        <v>1</v>
      </c>
      <c r="E26" s="81">
        <f>36000+9000*$E$401</f>
        <v>46350</v>
      </c>
      <c r="F26" s="81">
        <f t="shared" si="0"/>
        <v>46350</v>
      </c>
    </row>
    <row r="27" spans="1:6" x14ac:dyDescent="0.3">
      <c r="A27" s="141" t="s">
        <v>51</v>
      </c>
      <c r="B27" s="47" t="s">
        <v>52</v>
      </c>
      <c r="C27" s="2" t="s">
        <v>18</v>
      </c>
      <c r="D27" s="80">
        <v>1</v>
      </c>
      <c r="E27" s="81">
        <f>20000*$E$401</f>
        <v>23000</v>
      </c>
      <c r="F27" s="81">
        <f t="shared" si="0"/>
        <v>23000</v>
      </c>
    </row>
    <row r="28" spans="1:6" x14ac:dyDescent="0.3">
      <c r="A28" s="141" t="s">
        <v>53</v>
      </c>
      <c r="B28" s="47" t="s">
        <v>54</v>
      </c>
      <c r="C28" s="2" t="s">
        <v>18</v>
      </c>
      <c r="D28" s="80">
        <v>1</v>
      </c>
      <c r="E28" s="81">
        <f>55000*$E$401</f>
        <v>63249.999999999993</v>
      </c>
      <c r="F28" s="81">
        <f t="shared" si="0"/>
        <v>63250</v>
      </c>
    </row>
    <row r="29" spans="1:6" x14ac:dyDescent="0.3">
      <c r="A29" s="141" t="s">
        <v>55</v>
      </c>
      <c r="B29" s="47" t="s">
        <v>56</v>
      </c>
      <c r="C29" s="2" t="s">
        <v>18</v>
      </c>
      <c r="D29" s="80">
        <v>1</v>
      </c>
      <c r="E29" s="81">
        <f>30000*$E$401</f>
        <v>34500</v>
      </c>
      <c r="F29" s="81">
        <f t="shared" si="0"/>
        <v>34500</v>
      </c>
    </row>
    <row r="30" spans="1:6" ht="31.95" customHeight="1" x14ac:dyDescent="0.3">
      <c r="A30" s="141" t="s">
        <v>57</v>
      </c>
      <c r="B30" s="47" t="s">
        <v>58</v>
      </c>
      <c r="C30" s="2" t="s">
        <v>18</v>
      </c>
      <c r="D30" s="80">
        <v>1</v>
      </c>
      <c r="E30" s="81">
        <f>68608*$E$401</f>
        <v>78899.199999999997</v>
      </c>
      <c r="F30" s="81">
        <f t="shared" si="0"/>
        <v>78899.199999999997</v>
      </c>
    </row>
    <row r="31" spans="1:6" ht="19.2" customHeight="1" collapsed="1" x14ac:dyDescent="0.3">
      <c r="A31" s="138" t="s">
        <v>59</v>
      </c>
      <c r="B31" s="18" t="str">
        <f>[1]Žiniaraštis!$B$33</f>
        <v>Geologiniai tyrimai</v>
      </c>
      <c r="C31" s="3" t="s">
        <v>18</v>
      </c>
      <c r="D31" s="77">
        <v>1</v>
      </c>
      <c r="E31" s="78">
        <f>SUM(F32:F32)</f>
        <v>12000</v>
      </c>
      <c r="F31" s="79">
        <f>ROUND(D31*E31,2)</f>
        <v>12000</v>
      </c>
    </row>
    <row r="32" spans="1:6" x14ac:dyDescent="0.3">
      <c r="A32" s="141" t="s">
        <v>60</v>
      </c>
      <c r="B32" s="4" t="str">
        <f>[1]Žiniaraštis!$B$33</f>
        <v>Geologiniai tyrimai</v>
      </c>
      <c r="C32" s="2" t="s">
        <v>18</v>
      </c>
      <c r="D32" s="80">
        <v>1</v>
      </c>
      <c r="E32" s="82">
        <f>12000</f>
        <v>12000</v>
      </c>
      <c r="F32" s="81">
        <f>ROUND(D32*E32,2)</f>
        <v>12000</v>
      </c>
    </row>
    <row r="33" spans="1:6" collapsed="1" x14ac:dyDescent="0.3">
      <c r="A33" s="138" t="s">
        <v>61</v>
      </c>
      <c r="B33" s="18" t="s">
        <v>62</v>
      </c>
      <c r="C33" s="3" t="s">
        <v>18</v>
      </c>
      <c r="D33" s="77">
        <v>1</v>
      </c>
      <c r="E33" s="78">
        <f>SUM(F34:F36)</f>
        <v>6325</v>
      </c>
      <c r="F33" s="79">
        <f t="shared" si="0"/>
        <v>6325</v>
      </c>
    </row>
    <row r="34" spans="1:6" x14ac:dyDescent="0.3">
      <c r="A34" s="140" t="s">
        <v>63</v>
      </c>
      <c r="B34" s="47" t="s">
        <v>64</v>
      </c>
      <c r="C34" s="2" t="s">
        <v>18</v>
      </c>
      <c r="D34" s="80">
        <v>1</v>
      </c>
      <c r="E34" s="81">
        <f>2000*$E$401</f>
        <v>2300</v>
      </c>
      <c r="F34" s="81">
        <f t="shared" si="0"/>
        <v>2300</v>
      </c>
    </row>
    <row r="35" spans="1:6" x14ac:dyDescent="0.3">
      <c r="A35" s="140" t="s">
        <v>65</v>
      </c>
      <c r="B35" s="47" t="s">
        <v>66</v>
      </c>
      <c r="C35" s="2" t="s">
        <v>18</v>
      </c>
      <c r="D35" s="80">
        <v>1</v>
      </c>
      <c r="E35" s="81">
        <f>2500*$E$401</f>
        <v>2875</v>
      </c>
      <c r="F35" s="81">
        <f t="shared" si="0"/>
        <v>2875</v>
      </c>
    </row>
    <row r="36" spans="1:6" ht="15" thickBot="1" x14ac:dyDescent="0.35">
      <c r="A36" s="140" t="s">
        <v>67</v>
      </c>
      <c r="B36" s="47" t="s">
        <v>68</v>
      </c>
      <c r="C36" s="2" t="s">
        <v>18</v>
      </c>
      <c r="D36" s="80">
        <v>1</v>
      </c>
      <c r="E36" s="81">
        <f>1000*$E$401</f>
        <v>1150</v>
      </c>
      <c r="F36" s="93">
        <f t="shared" si="0"/>
        <v>1150</v>
      </c>
    </row>
    <row r="37" spans="1:6" ht="15" collapsed="1" thickBot="1" x14ac:dyDescent="0.35">
      <c r="A37" s="56"/>
      <c r="B37" s="53" t="str">
        <f>CONCATENATE("Viso (",B9,")")</f>
        <v>Viso (Bendroji dalis)</v>
      </c>
      <c r="C37" s="54"/>
      <c r="D37" s="84"/>
      <c r="E37" s="85"/>
      <c r="F37" s="94">
        <f>F10+F13+F19+F25+F31+F33</f>
        <v>929286.7</v>
      </c>
    </row>
    <row r="38" spans="1:6" x14ac:dyDescent="0.3">
      <c r="A38" s="142" t="s">
        <v>69</v>
      </c>
      <c r="B38" s="92" t="s">
        <v>70</v>
      </c>
      <c r="C38" s="92"/>
      <c r="D38" s="101"/>
      <c r="E38" s="102"/>
      <c r="F38" s="115"/>
    </row>
    <row r="39" spans="1:6" x14ac:dyDescent="0.3">
      <c r="A39" s="138" t="s">
        <v>71</v>
      </c>
      <c r="B39" s="18" t="s">
        <v>72</v>
      </c>
      <c r="C39" s="46"/>
      <c r="D39" s="77">
        <v>1</v>
      </c>
      <c r="E39" s="78">
        <f>SUM(F40:F44)</f>
        <v>913564.38</v>
      </c>
      <c r="F39" s="79">
        <f t="shared" ref="F39:F44" si="1">ROUND(D39*E39,2)</f>
        <v>913564.38</v>
      </c>
    </row>
    <row r="40" spans="1:6" x14ac:dyDescent="0.3">
      <c r="A40" s="139" t="s">
        <v>73</v>
      </c>
      <c r="B40" s="9" t="s">
        <v>74</v>
      </c>
      <c r="C40" s="2" t="s">
        <v>18</v>
      </c>
      <c r="D40" s="80">
        <v>1</v>
      </c>
      <c r="E40" s="81">
        <v>43008</v>
      </c>
      <c r="F40" s="81">
        <f>ROUND(D40*E40,2)</f>
        <v>43008</v>
      </c>
    </row>
    <row r="41" spans="1:6" x14ac:dyDescent="0.3">
      <c r="A41" s="139" t="s">
        <v>75</v>
      </c>
      <c r="B41" s="11" t="s">
        <v>76</v>
      </c>
      <c r="C41" s="2" t="s">
        <v>18</v>
      </c>
      <c r="D41" s="80">
        <v>1</v>
      </c>
      <c r="E41" s="81">
        <f>114500*$E$401</f>
        <v>131675</v>
      </c>
      <c r="F41" s="81">
        <f t="shared" si="1"/>
        <v>131675</v>
      </c>
    </row>
    <row r="42" spans="1:6" x14ac:dyDescent="0.3">
      <c r="A42" s="139" t="s">
        <v>77</v>
      </c>
      <c r="B42" s="11" t="s">
        <v>78</v>
      </c>
      <c r="C42" s="2" t="s">
        <v>18</v>
      </c>
      <c r="D42" s="80">
        <v>1</v>
      </c>
      <c r="E42" s="81">
        <f>0*$E$401</f>
        <v>0</v>
      </c>
      <c r="F42" s="81">
        <f t="shared" si="1"/>
        <v>0</v>
      </c>
    </row>
    <row r="43" spans="1:6" x14ac:dyDescent="0.3">
      <c r="A43" s="139" t="s">
        <v>79</v>
      </c>
      <c r="B43" s="11" t="s">
        <v>80</v>
      </c>
      <c r="C43" s="2" t="s">
        <v>18</v>
      </c>
      <c r="D43" s="80">
        <v>1</v>
      </c>
      <c r="E43" s="81">
        <f>(481463.5+139273.74)*$E$401</f>
        <v>713847.82599999988</v>
      </c>
      <c r="F43" s="81">
        <f t="shared" si="1"/>
        <v>713847.83</v>
      </c>
    </row>
    <row r="44" spans="1:6" x14ac:dyDescent="0.3">
      <c r="A44" s="139" t="s">
        <v>81</v>
      </c>
      <c r="B44" s="11" t="s">
        <v>82</v>
      </c>
      <c r="C44" s="2" t="s">
        <v>18</v>
      </c>
      <c r="D44" s="80">
        <v>1</v>
      </c>
      <c r="E44" s="81">
        <f>21768.3*$E$401</f>
        <v>25033.544999999998</v>
      </c>
      <c r="F44" s="81">
        <f t="shared" si="1"/>
        <v>25033.55</v>
      </c>
    </row>
    <row r="45" spans="1:6" collapsed="1" x14ac:dyDescent="0.3">
      <c r="A45" s="138" t="s">
        <v>83</v>
      </c>
      <c r="B45" s="18" t="s">
        <v>84</v>
      </c>
      <c r="C45" s="46"/>
      <c r="D45" s="77">
        <v>1</v>
      </c>
      <c r="E45" s="78">
        <f>SUM(F46:F50)</f>
        <v>666745</v>
      </c>
      <c r="F45" s="79">
        <f>ROUND(D45*E45,2)</f>
        <v>666745</v>
      </c>
    </row>
    <row r="46" spans="1:6" ht="27.6" x14ac:dyDescent="0.3">
      <c r="A46" s="139" t="s">
        <v>85</v>
      </c>
      <c r="B46" s="51" t="s">
        <v>86</v>
      </c>
      <c r="C46" s="52" t="s">
        <v>18</v>
      </c>
      <c r="D46" s="80">
        <v>1</v>
      </c>
      <c r="E46" s="124">
        <f>456640+114160*$E$401</f>
        <v>587924</v>
      </c>
      <c r="F46" s="81">
        <f t="shared" ref="F46:F50" si="2">ROUND(D46*E46,2)</f>
        <v>587924</v>
      </c>
    </row>
    <row r="47" spans="1:6" x14ac:dyDescent="0.3">
      <c r="A47" s="139" t="s">
        <v>87</v>
      </c>
      <c r="B47" s="51" t="s">
        <v>88</v>
      </c>
      <c r="C47" s="52" t="s">
        <v>18</v>
      </c>
      <c r="D47" s="80">
        <v>1</v>
      </c>
      <c r="E47" s="125">
        <v>0</v>
      </c>
      <c r="F47" s="81">
        <f t="shared" si="2"/>
        <v>0</v>
      </c>
    </row>
    <row r="48" spans="1:6" ht="27.6" x14ac:dyDescent="0.3">
      <c r="A48" s="139" t="s">
        <v>89</v>
      </c>
      <c r="B48" s="51" t="s">
        <v>473</v>
      </c>
      <c r="C48" s="52" t="s">
        <v>18</v>
      </c>
      <c r="D48" s="80">
        <v>1</v>
      </c>
      <c r="E48" s="125">
        <f>5100*$E$401</f>
        <v>5865</v>
      </c>
      <c r="F48" s="81">
        <f t="shared" si="2"/>
        <v>5865</v>
      </c>
    </row>
    <row r="49" spans="1:6" x14ac:dyDescent="0.3">
      <c r="A49" s="139" t="s">
        <v>90</v>
      </c>
      <c r="B49" s="51" t="s">
        <v>91</v>
      </c>
      <c r="C49" s="52" t="s">
        <v>18</v>
      </c>
      <c r="D49" s="80">
        <v>1</v>
      </c>
      <c r="E49" s="125">
        <f>13440*$E$401</f>
        <v>15455.999999999998</v>
      </c>
      <c r="F49" s="81">
        <f t="shared" si="2"/>
        <v>15456</v>
      </c>
    </row>
    <row r="50" spans="1:6" x14ac:dyDescent="0.3">
      <c r="A50" s="139" t="s">
        <v>92</v>
      </c>
      <c r="B50" s="51" t="s">
        <v>93</v>
      </c>
      <c r="C50" s="52" t="s">
        <v>18</v>
      </c>
      <c r="D50" s="80">
        <v>1</v>
      </c>
      <c r="E50" s="125">
        <f>50000*$E$401</f>
        <v>57499.999999999993</v>
      </c>
      <c r="F50" s="81">
        <f t="shared" si="2"/>
        <v>57500</v>
      </c>
    </row>
    <row r="51" spans="1:6" collapsed="1" x14ac:dyDescent="0.3">
      <c r="A51" s="138" t="s">
        <v>94</v>
      </c>
      <c r="B51" s="18" t="s">
        <v>95</v>
      </c>
      <c r="C51" s="46"/>
      <c r="D51" s="77">
        <v>1</v>
      </c>
      <c r="E51" s="78">
        <f>SUM(F52:F56)</f>
        <v>65550</v>
      </c>
      <c r="F51" s="79">
        <f>ROUND(D51*E51,2)</f>
        <v>65550</v>
      </c>
    </row>
    <row r="52" spans="1:6" x14ac:dyDescent="0.3">
      <c r="A52" s="139" t="s">
        <v>96</v>
      </c>
      <c r="B52" s="45" t="s">
        <v>97</v>
      </c>
      <c r="C52" s="52" t="s">
        <v>98</v>
      </c>
      <c r="D52" s="80">
        <v>1</v>
      </c>
      <c r="E52" s="81">
        <f>25000*$E$401</f>
        <v>28749.999999999996</v>
      </c>
      <c r="F52" s="81">
        <f>ROUND(D52*E52,2)</f>
        <v>28750</v>
      </c>
    </row>
    <row r="53" spans="1:6" x14ac:dyDescent="0.3">
      <c r="A53" s="139" t="s">
        <v>99</v>
      </c>
      <c r="B53" s="45" t="s">
        <v>100</v>
      </c>
      <c r="C53" s="52" t="s">
        <v>98</v>
      </c>
      <c r="D53" s="80">
        <v>1</v>
      </c>
      <c r="E53" s="81">
        <f>16000*$E$401</f>
        <v>18400</v>
      </c>
      <c r="F53" s="81">
        <f t="shared" ref="F53:F56" si="3">ROUND(D53*E53,2)</f>
        <v>18400</v>
      </c>
    </row>
    <row r="54" spans="1:6" x14ac:dyDescent="0.3">
      <c r="A54" s="139" t="s">
        <v>101</v>
      </c>
      <c r="B54" s="45" t="s">
        <v>102</v>
      </c>
      <c r="C54" s="52" t="s">
        <v>98</v>
      </c>
      <c r="D54" s="80">
        <v>1</v>
      </c>
      <c r="E54" s="81">
        <f>10500*$E$401</f>
        <v>12074.999999999998</v>
      </c>
      <c r="F54" s="81">
        <f t="shared" si="3"/>
        <v>12075</v>
      </c>
    </row>
    <row r="55" spans="1:6" x14ac:dyDescent="0.3">
      <c r="A55" s="139" t="s">
        <v>103</v>
      </c>
      <c r="B55" s="55" t="s">
        <v>104</v>
      </c>
      <c r="C55" s="52" t="s">
        <v>98</v>
      </c>
      <c r="D55" s="80">
        <v>1</v>
      </c>
      <c r="E55" s="103">
        <f>2500*$E$401</f>
        <v>2875</v>
      </c>
      <c r="F55" s="81">
        <f t="shared" si="3"/>
        <v>2875</v>
      </c>
    </row>
    <row r="56" spans="1:6" x14ac:dyDescent="0.3">
      <c r="A56" s="139" t="s">
        <v>105</v>
      </c>
      <c r="B56" s="57" t="s">
        <v>106</v>
      </c>
      <c r="C56" s="52" t="s">
        <v>98</v>
      </c>
      <c r="D56" s="80">
        <v>1</v>
      </c>
      <c r="E56" s="103">
        <f>3000*$E$401</f>
        <v>3449.9999999999995</v>
      </c>
      <c r="F56" s="81">
        <f t="shared" si="3"/>
        <v>3450</v>
      </c>
    </row>
    <row r="57" spans="1:6" collapsed="1" x14ac:dyDescent="0.3">
      <c r="A57" s="138" t="s">
        <v>107</v>
      </c>
      <c r="B57" s="18" t="s">
        <v>108</v>
      </c>
      <c r="C57" s="46"/>
      <c r="D57" s="77">
        <v>1</v>
      </c>
      <c r="E57" s="78">
        <f>SUM(F58:F62)</f>
        <v>27600</v>
      </c>
      <c r="F57" s="79">
        <f>ROUND(D57*E57,2)</f>
        <v>27600</v>
      </c>
    </row>
    <row r="58" spans="1:6" x14ac:dyDescent="0.3">
      <c r="A58" s="139" t="s">
        <v>109</v>
      </c>
      <c r="B58" s="5" t="s">
        <v>110</v>
      </c>
      <c r="C58" s="52" t="s">
        <v>98</v>
      </c>
      <c r="D58" s="80">
        <v>1</v>
      </c>
      <c r="E58" s="81">
        <f>2000*$E$401</f>
        <v>2300</v>
      </c>
      <c r="F58" s="81">
        <f t="shared" ref="F58:F62" si="4">ROUND(D58*E58,2)</f>
        <v>2300</v>
      </c>
    </row>
    <row r="59" spans="1:6" x14ac:dyDescent="0.3">
      <c r="A59" s="139" t="s">
        <v>111</v>
      </c>
      <c r="B59" s="5" t="s">
        <v>112</v>
      </c>
      <c r="C59" s="52" t="s">
        <v>98</v>
      </c>
      <c r="D59" s="80">
        <v>1</v>
      </c>
      <c r="E59" s="81">
        <f>7000*$E$401</f>
        <v>8049.9999999999991</v>
      </c>
      <c r="F59" s="81">
        <f t="shared" si="4"/>
        <v>8050</v>
      </c>
    </row>
    <row r="60" spans="1:6" x14ac:dyDescent="0.3">
      <c r="A60" s="139" t="s">
        <v>113</v>
      </c>
      <c r="B60" s="5" t="s">
        <v>114</v>
      </c>
      <c r="C60" s="52" t="s">
        <v>98</v>
      </c>
      <c r="D60" s="80">
        <v>1</v>
      </c>
      <c r="E60" s="81">
        <f>3500*$E$401</f>
        <v>4024.9999999999995</v>
      </c>
      <c r="F60" s="81">
        <f t="shared" si="4"/>
        <v>4025</v>
      </c>
    </row>
    <row r="61" spans="1:6" x14ac:dyDescent="0.3">
      <c r="A61" s="139" t="s">
        <v>115</v>
      </c>
      <c r="B61" s="5" t="s">
        <v>116</v>
      </c>
      <c r="C61" s="52" t="s">
        <v>98</v>
      </c>
      <c r="D61" s="80">
        <v>1</v>
      </c>
      <c r="E61" s="81">
        <f>500*$E$401</f>
        <v>575</v>
      </c>
      <c r="F61" s="81">
        <f t="shared" si="4"/>
        <v>575</v>
      </c>
    </row>
    <row r="62" spans="1:6" ht="15" thickBot="1" x14ac:dyDescent="0.35">
      <c r="A62" s="139" t="s">
        <v>117</v>
      </c>
      <c r="B62" s="5" t="s">
        <v>118</v>
      </c>
      <c r="C62" s="52" t="s">
        <v>98</v>
      </c>
      <c r="D62" s="80">
        <v>1</v>
      </c>
      <c r="E62" s="81">
        <f>11000*$E$401</f>
        <v>12649.999999999998</v>
      </c>
      <c r="F62" s="93">
        <f t="shared" si="4"/>
        <v>12650</v>
      </c>
    </row>
    <row r="63" spans="1:6" ht="15" collapsed="1" thickBot="1" x14ac:dyDescent="0.35">
      <c r="A63" s="143"/>
      <c r="B63" s="104" t="str">
        <f>CONCATENATE("Viso (",B38,")")</f>
        <v>Viso (Pirminis nusodintuvas 3)</v>
      </c>
      <c r="C63" s="105"/>
      <c r="D63" s="106"/>
      <c r="E63" s="111"/>
      <c r="F63" s="94">
        <f>F39+F45+F51+F57</f>
        <v>1673459.38</v>
      </c>
    </row>
    <row r="64" spans="1:6" x14ac:dyDescent="0.3">
      <c r="A64" s="142" t="s">
        <v>119</v>
      </c>
      <c r="B64" s="92" t="s">
        <v>120</v>
      </c>
      <c r="C64" s="92"/>
      <c r="D64" s="101"/>
      <c r="E64" s="102"/>
      <c r="F64" s="115"/>
    </row>
    <row r="65" spans="1:6" x14ac:dyDescent="0.3">
      <c r="A65" s="138" t="s">
        <v>121</v>
      </c>
      <c r="B65" s="18" t="s">
        <v>122</v>
      </c>
      <c r="C65" s="46"/>
      <c r="D65" s="77">
        <v>1</v>
      </c>
      <c r="E65" s="78">
        <f>SUM(F66:F70)</f>
        <v>781221.28</v>
      </c>
      <c r="F65" s="79">
        <f>ROUND(D65*E65,2)</f>
        <v>781221.28</v>
      </c>
    </row>
    <row r="66" spans="1:6" x14ac:dyDescent="0.3">
      <c r="A66" s="139" t="s">
        <v>123</v>
      </c>
      <c r="B66" s="9" t="s">
        <v>74</v>
      </c>
      <c r="C66" s="52" t="s">
        <v>98</v>
      </c>
      <c r="D66" s="80">
        <v>1</v>
      </c>
      <c r="E66" s="126">
        <f>33008*$E$401</f>
        <v>37959.199999999997</v>
      </c>
      <c r="F66" s="81">
        <f t="shared" ref="F66:F70" si="5">ROUND(D66*E66,2)</f>
        <v>37959.199999999997</v>
      </c>
    </row>
    <row r="67" spans="1:6" x14ac:dyDescent="0.3">
      <c r="A67" s="139" t="s">
        <v>124</v>
      </c>
      <c r="B67" s="11" t="s">
        <v>76</v>
      </c>
      <c r="C67" s="52" t="s">
        <v>98</v>
      </c>
      <c r="D67" s="80">
        <v>1</v>
      </c>
      <c r="E67" s="126">
        <f>114500*$E$401</f>
        <v>131675</v>
      </c>
      <c r="F67" s="81">
        <f t="shared" si="5"/>
        <v>131675</v>
      </c>
    </row>
    <row r="68" spans="1:6" x14ac:dyDescent="0.3">
      <c r="A68" s="139" t="s">
        <v>125</v>
      </c>
      <c r="B68" s="11" t="s">
        <v>78</v>
      </c>
      <c r="C68" s="52" t="s">
        <v>98</v>
      </c>
      <c r="D68" s="80">
        <v>1</v>
      </c>
      <c r="E68" s="126">
        <f>0*$E$401</f>
        <v>0</v>
      </c>
      <c r="F68" s="81">
        <f t="shared" si="5"/>
        <v>0</v>
      </c>
    </row>
    <row r="69" spans="1:6" x14ac:dyDescent="0.3">
      <c r="A69" s="139" t="s">
        <v>126</v>
      </c>
      <c r="B69" s="11" t="s">
        <v>80</v>
      </c>
      <c r="C69" s="52" t="s">
        <v>98</v>
      </c>
      <c r="D69" s="80">
        <v>1</v>
      </c>
      <c r="E69" s="126">
        <f>(380321.5+139273.74)*$E$401</f>
        <v>597534.52599999995</v>
      </c>
      <c r="F69" s="81">
        <f t="shared" si="5"/>
        <v>597534.53</v>
      </c>
    </row>
    <row r="70" spans="1:6" x14ac:dyDescent="0.3">
      <c r="A70" s="139" t="s">
        <v>127</v>
      </c>
      <c r="B70" s="11" t="s">
        <v>128</v>
      </c>
      <c r="C70" s="52" t="s">
        <v>98</v>
      </c>
      <c r="D70" s="80">
        <v>1</v>
      </c>
      <c r="E70" s="126">
        <f>(21768.3*$E$401)-5490.5*2</f>
        <v>14052.544999999998</v>
      </c>
      <c r="F70" s="81">
        <f t="shared" si="5"/>
        <v>14052.55</v>
      </c>
    </row>
    <row r="71" spans="1:6" collapsed="1" x14ac:dyDescent="0.3">
      <c r="A71" s="138" t="s">
        <v>129</v>
      </c>
      <c r="B71" s="18" t="s">
        <v>84</v>
      </c>
      <c r="C71" s="46"/>
      <c r="D71" s="77">
        <v>1</v>
      </c>
      <c r="E71" s="78">
        <f>SUM(F72:F76)</f>
        <v>735241</v>
      </c>
      <c r="F71" s="79">
        <f>ROUND(D71*E71,2)</f>
        <v>735241</v>
      </c>
    </row>
    <row r="72" spans="1:6" ht="28.2" x14ac:dyDescent="0.3">
      <c r="A72" s="139" t="s">
        <v>130</v>
      </c>
      <c r="B72" s="13" t="s">
        <v>86</v>
      </c>
      <c r="C72" s="52" t="s">
        <v>98</v>
      </c>
      <c r="D72" s="80">
        <v>1</v>
      </c>
      <c r="E72" s="127">
        <f>570800*$E$401</f>
        <v>656420</v>
      </c>
      <c r="F72" s="81">
        <f t="shared" ref="F72:F76" si="6">ROUND(D72*E72,2)</f>
        <v>656420</v>
      </c>
    </row>
    <row r="73" spans="1:6" x14ac:dyDescent="0.3">
      <c r="A73" s="139" t="s">
        <v>131</v>
      </c>
      <c r="B73" s="13" t="s">
        <v>88</v>
      </c>
      <c r="C73" s="52" t="s">
        <v>98</v>
      </c>
      <c r="D73" s="80">
        <v>1</v>
      </c>
      <c r="E73" s="127">
        <v>0</v>
      </c>
      <c r="F73" s="81">
        <f t="shared" si="6"/>
        <v>0</v>
      </c>
    </row>
    <row r="74" spans="1:6" ht="27.6" x14ac:dyDescent="0.3">
      <c r="A74" s="139" t="s">
        <v>132</v>
      </c>
      <c r="B74" s="51" t="s">
        <v>473</v>
      </c>
      <c r="C74" s="52" t="s">
        <v>98</v>
      </c>
      <c r="D74" s="80">
        <v>1</v>
      </c>
      <c r="E74" s="127">
        <f>5100*$E$401</f>
        <v>5865</v>
      </c>
      <c r="F74" s="81">
        <f t="shared" si="6"/>
        <v>5865</v>
      </c>
    </row>
    <row r="75" spans="1:6" x14ac:dyDescent="0.3">
      <c r="A75" s="139" t="s">
        <v>133</v>
      </c>
      <c r="B75" s="13" t="s">
        <v>91</v>
      </c>
      <c r="C75" s="52" t="s">
        <v>98</v>
      </c>
      <c r="D75" s="80">
        <v>1</v>
      </c>
      <c r="E75" s="127">
        <f>13440*$E$401</f>
        <v>15455.999999999998</v>
      </c>
      <c r="F75" s="81">
        <f t="shared" si="6"/>
        <v>15456</v>
      </c>
    </row>
    <row r="76" spans="1:6" x14ac:dyDescent="0.3">
      <c r="A76" s="139" t="s">
        <v>134</v>
      </c>
      <c r="B76" s="13" t="s">
        <v>93</v>
      </c>
      <c r="C76" s="52" t="s">
        <v>98</v>
      </c>
      <c r="D76" s="80">
        <v>1</v>
      </c>
      <c r="E76" s="127">
        <f>50000*$E$401</f>
        <v>57499.999999999993</v>
      </c>
      <c r="F76" s="81">
        <f t="shared" si="6"/>
        <v>57500</v>
      </c>
    </row>
    <row r="77" spans="1:6" collapsed="1" x14ac:dyDescent="0.3">
      <c r="A77" s="138" t="s">
        <v>135</v>
      </c>
      <c r="B77" s="18" t="s">
        <v>136</v>
      </c>
      <c r="C77" s="46"/>
      <c r="D77" s="77">
        <v>1</v>
      </c>
      <c r="E77" s="78">
        <f>SUM(F78:F82)</f>
        <v>65550</v>
      </c>
      <c r="F77" s="79">
        <f>ROUND(D77*E77,2)</f>
        <v>65550</v>
      </c>
    </row>
    <row r="78" spans="1:6" x14ac:dyDescent="0.3">
      <c r="A78" s="139" t="s">
        <v>137</v>
      </c>
      <c r="B78" s="55" t="s">
        <v>97</v>
      </c>
      <c r="C78" s="52" t="s">
        <v>98</v>
      </c>
      <c r="D78" s="80">
        <v>1</v>
      </c>
      <c r="E78" s="81">
        <f>25000*$E$401</f>
        <v>28749.999999999996</v>
      </c>
      <c r="F78" s="81">
        <f t="shared" ref="F78:F82" si="7">ROUND(D78*E78,2)</f>
        <v>28750</v>
      </c>
    </row>
    <row r="79" spans="1:6" x14ac:dyDescent="0.3">
      <c r="A79" s="139" t="s">
        <v>138</v>
      </c>
      <c r="B79" s="55" t="s">
        <v>100</v>
      </c>
      <c r="C79" s="52" t="s">
        <v>98</v>
      </c>
      <c r="D79" s="80">
        <v>1</v>
      </c>
      <c r="E79" s="81">
        <f>16000*$E$401</f>
        <v>18400</v>
      </c>
      <c r="F79" s="81">
        <f t="shared" si="7"/>
        <v>18400</v>
      </c>
    </row>
    <row r="80" spans="1:6" x14ac:dyDescent="0.3">
      <c r="A80" s="139" t="s">
        <v>139</v>
      </c>
      <c r="B80" s="55" t="s">
        <v>102</v>
      </c>
      <c r="C80" s="52" t="s">
        <v>98</v>
      </c>
      <c r="D80" s="80">
        <v>1</v>
      </c>
      <c r="E80" s="81">
        <f>10500*$E$401</f>
        <v>12074.999999999998</v>
      </c>
      <c r="F80" s="81">
        <f t="shared" si="7"/>
        <v>12075</v>
      </c>
    </row>
    <row r="81" spans="1:35" x14ac:dyDescent="0.3">
      <c r="A81" s="139" t="s">
        <v>140</v>
      </c>
      <c r="B81" s="55" t="s">
        <v>104</v>
      </c>
      <c r="C81" s="52" t="s">
        <v>98</v>
      </c>
      <c r="D81" s="80">
        <v>1</v>
      </c>
      <c r="E81" s="81">
        <f>2500*$E$401</f>
        <v>2875</v>
      </c>
      <c r="F81" s="81">
        <f t="shared" si="7"/>
        <v>2875</v>
      </c>
    </row>
    <row r="82" spans="1:35" x14ac:dyDescent="0.3">
      <c r="A82" s="139" t="s">
        <v>141</v>
      </c>
      <c r="B82" s="57" t="s">
        <v>106</v>
      </c>
      <c r="C82" s="52" t="s">
        <v>98</v>
      </c>
      <c r="D82" s="80">
        <v>1</v>
      </c>
      <c r="E82" s="103">
        <f>3000*$E$401</f>
        <v>3449.9999999999995</v>
      </c>
      <c r="F82" s="81">
        <f t="shared" si="7"/>
        <v>3450</v>
      </c>
    </row>
    <row r="83" spans="1:35" ht="18.600000000000001" customHeight="1" collapsed="1" x14ac:dyDescent="0.3">
      <c r="A83" s="138" t="s">
        <v>142</v>
      </c>
      <c r="B83" s="18" t="s">
        <v>108</v>
      </c>
      <c r="C83" s="46"/>
      <c r="D83" s="77">
        <v>1</v>
      </c>
      <c r="E83" s="78">
        <f>SUM(F84:F88)</f>
        <v>25300</v>
      </c>
      <c r="F83" s="79">
        <f>ROUND(D83*E83,2)</f>
        <v>25300</v>
      </c>
    </row>
    <row r="84" spans="1:35" s="8" customFormat="1" x14ac:dyDescent="0.3">
      <c r="A84" s="139" t="s">
        <v>143</v>
      </c>
      <c r="B84" s="5" t="s">
        <v>110</v>
      </c>
      <c r="C84" s="52" t="s">
        <v>98</v>
      </c>
      <c r="D84" s="80">
        <v>1</v>
      </c>
      <c r="E84" s="89">
        <f>2000*$E$401</f>
        <v>2300</v>
      </c>
      <c r="F84" s="81">
        <f t="shared" ref="F84:F88" si="8">ROUND(D84*E84,2)</f>
        <v>2300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7"/>
    </row>
    <row r="85" spans="1:35" s="8" customFormat="1" ht="18.600000000000001" customHeight="1" x14ac:dyDescent="0.3">
      <c r="A85" s="139" t="s">
        <v>144</v>
      </c>
      <c r="B85" s="5" t="s">
        <v>112</v>
      </c>
      <c r="C85" s="52" t="s">
        <v>98</v>
      </c>
      <c r="D85" s="80">
        <v>1</v>
      </c>
      <c r="E85" s="89">
        <f>7000*$E$401</f>
        <v>8049.9999999999991</v>
      </c>
      <c r="F85" s="81">
        <f t="shared" si="8"/>
        <v>8050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7"/>
    </row>
    <row r="86" spans="1:35" s="8" customFormat="1" ht="18.600000000000001" customHeight="1" x14ac:dyDescent="0.3">
      <c r="A86" s="139" t="s">
        <v>145</v>
      </c>
      <c r="B86" s="5" t="s">
        <v>114</v>
      </c>
      <c r="C86" s="52" t="s">
        <v>98</v>
      </c>
      <c r="D86" s="80">
        <v>1</v>
      </c>
      <c r="E86" s="89">
        <f>3500*$E$401</f>
        <v>4024.9999999999995</v>
      </c>
      <c r="F86" s="81">
        <f t="shared" si="8"/>
        <v>4025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7"/>
    </row>
    <row r="87" spans="1:35" s="8" customFormat="1" ht="18.600000000000001" customHeight="1" x14ac:dyDescent="0.3">
      <c r="A87" s="139" t="s">
        <v>146</v>
      </c>
      <c r="B87" s="5" t="s">
        <v>116</v>
      </c>
      <c r="C87" s="52" t="s">
        <v>98</v>
      </c>
      <c r="D87" s="80">
        <v>1</v>
      </c>
      <c r="E87" s="89">
        <f>500*$E$401</f>
        <v>575</v>
      </c>
      <c r="F87" s="81">
        <f t="shared" si="8"/>
        <v>575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7"/>
    </row>
    <row r="88" spans="1:35" s="8" customFormat="1" ht="15" thickBot="1" x14ac:dyDescent="0.35">
      <c r="A88" s="139" t="s">
        <v>147</v>
      </c>
      <c r="B88" s="5" t="s">
        <v>118</v>
      </c>
      <c r="C88" s="52" t="s">
        <v>98</v>
      </c>
      <c r="D88" s="80">
        <v>1</v>
      </c>
      <c r="E88" s="89">
        <f>9000*$E$401</f>
        <v>10350</v>
      </c>
      <c r="F88" s="93">
        <f t="shared" si="8"/>
        <v>10350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7"/>
    </row>
    <row r="89" spans="1:35" ht="15" collapsed="1" thickBot="1" x14ac:dyDescent="0.35">
      <c r="A89" s="143"/>
      <c r="B89" s="104" t="str">
        <f>CONCATENATE("Viso (",B64,")")</f>
        <v>Viso (Pirminis nusodintuvas 2)</v>
      </c>
      <c r="C89" s="105"/>
      <c r="D89" s="106"/>
      <c r="E89" s="111"/>
      <c r="F89" s="94">
        <f>F65+F71+F77+F83</f>
        <v>1607312.28</v>
      </c>
    </row>
    <row r="90" spans="1:35" x14ac:dyDescent="0.3">
      <c r="A90" s="142" t="s">
        <v>148</v>
      </c>
      <c r="B90" s="92" t="s">
        <v>149</v>
      </c>
      <c r="C90" s="92"/>
      <c r="D90" s="101"/>
      <c r="E90" s="102"/>
      <c r="F90" s="115"/>
    </row>
    <row r="91" spans="1:35" x14ac:dyDescent="0.3">
      <c r="A91" s="144" t="s">
        <v>150</v>
      </c>
      <c r="B91" s="18" t="s">
        <v>72</v>
      </c>
      <c r="C91" s="18" t="s">
        <v>18</v>
      </c>
      <c r="D91" s="86">
        <v>1</v>
      </c>
      <c r="E91" s="78">
        <f>SUM(F92:F96)</f>
        <v>795307.28</v>
      </c>
      <c r="F91" s="79">
        <f t="shared" ref="F91:F114" si="9">ROUND(D91*E91,2)</f>
        <v>795307.28</v>
      </c>
    </row>
    <row r="92" spans="1:35" x14ac:dyDescent="0.3">
      <c r="A92" s="145" t="s">
        <v>151</v>
      </c>
      <c r="B92" s="9" t="s">
        <v>74</v>
      </c>
      <c r="C92" s="10" t="s">
        <v>18</v>
      </c>
      <c r="D92" s="80">
        <v>1</v>
      </c>
      <c r="E92" s="126">
        <f>33008*$E$401</f>
        <v>37959.199999999997</v>
      </c>
      <c r="F92" s="81">
        <f t="shared" si="9"/>
        <v>37959.199999999997</v>
      </c>
    </row>
    <row r="93" spans="1:35" x14ac:dyDescent="0.3">
      <c r="A93" s="145" t="s">
        <v>152</v>
      </c>
      <c r="B93" s="11" t="s">
        <v>76</v>
      </c>
      <c r="C93" s="10" t="s">
        <v>18</v>
      </c>
      <c r="D93" s="80">
        <v>1</v>
      </c>
      <c r="E93" s="126">
        <f>114500*$E$401</f>
        <v>131675</v>
      </c>
      <c r="F93" s="81">
        <f t="shared" si="9"/>
        <v>131675</v>
      </c>
    </row>
    <row r="94" spans="1:35" x14ac:dyDescent="0.3">
      <c r="A94" s="145" t="s">
        <v>153</v>
      </c>
      <c r="B94" s="11" t="s">
        <v>78</v>
      </c>
      <c r="C94" s="10" t="s">
        <v>18</v>
      </c>
      <c r="D94" s="80">
        <v>1</v>
      </c>
      <c r="E94" s="126">
        <f>0*$E$401</f>
        <v>0</v>
      </c>
      <c r="F94" s="81">
        <f t="shared" si="9"/>
        <v>0</v>
      </c>
    </row>
    <row r="95" spans="1:35" x14ac:dyDescent="0.3">
      <c r="A95" s="145" t="s">
        <v>154</v>
      </c>
      <c r="B95" s="11" t="s">
        <v>80</v>
      </c>
      <c r="C95" s="10" t="s">
        <v>18</v>
      </c>
      <c r="D95" s="80">
        <v>1</v>
      </c>
      <c r="E95" s="126">
        <f>(383021.5+139273.74)*$E$401</f>
        <v>600639.52599999995</v>
      </c>
      <c r="F95" s="81">
        <f>ROUND(D95*E95,2)</f>
        <v>600639.53</v>
      </c>
    </row>
    <row r="96" spans="1:35" x14ac:dyDescent="0.3">
      <c r="A96" s="145" t="s">
        <v>155</v>
      </c>
      <c r="B96" s="11" t="s">
        <v>156</v>
      </c>
      <c r="C96" s="10" t="s">
        <v>18</v>
      </c>
      <c r="D96" s="80">
        <v>1</v>
      </c>
      <c r="E96" s="126">
        <f>(21768.3*$E$401)</f>
        <v>25033.544999999998</v>
      </c>
      <c r="F96" s="81">
        <f t="shared" si="9"/>
        <v>25033.55</v>
      </c>
    </row>
    <row r="97" spans="1:6" collapsed="1" x14ac:dyDescent="0.3">
      <c r="A97" s="144" t="s">
        <v>157</v>
      </c>
      <c r="B97" s="18" t="s">
        <v>84</v>
      </c>
      <c r="C97" s="18" t="s">
        <v>18</v>
      </c>
      <c r="D97" s="86">
        <v>1</v>
      </c>
      <c r="E97" s="78">
        <f>SUM(F98:F102)</f>
        <v>735241</v>
      </c>
      <c r="F97" s="79">
        <f t="shared" si="9"/>
        <v>735241</v>
      </c>
    </row>
    <row r="98" spans="1:6" ht="28.2" x14ac:dyDescent="0.3">
      <c r="A98" s="145" t="s">
        <v>158</v>
      </c>
      <c r="B98" s="13" t="s">
        <v>86</v>
      </c>
      <c r="C98" s="10" t="s">
        <v>18</v>
      </c>
      <c r="D98" s="80">
        <v>1</v>
      </c>
      <c r="E98" s="127">
        <f>570800*$E$401</f>
        <v>656420</v>
      </c>
      <c r="F98" s="81">
        <f t="shared" si="9"/>
        <v>656420</v>
      </c>
    </row>
    <row r="99" spans="1:6" x14ac:dyDescent="0.3">
      <c r="A99" s="145" t="s">
        <v>159</v>
      </c>
      <c r="B99" s="13" t="s">
        <v>88</v>
      </c>
      <c r="C99" s="10" t="s">
        <v>18</v>
      </c>
      <c r="D99" s="80">
        <v>1</v>
      </c>
      <c r="E99" s="127">
        <v>0</v>
      </c>
      <c r="F99" s="81">
        <f t="shared" si="9"/>
        <v>0</v>
      </c>
    </row>
    <row r="100" spans="1:6" ht="27.6" x14ac:dyDescent="0.3">
      <c r="A100" s="145" t="s">
        <v>160</v>
      </c>
      <c r="B100" s="51" t="s">
        <v>473</v>
      </c>
      <c r="C100" s="10" t="s">
        <v>18</v>
      </c>
      <c r="D100" s="80">
        <v>1</v>
      </c>
      <c r="E100" s="128">
        <f>5100*$E$401</f>
        <v>5865</v>
      </c>
      <c r="F100" s="107">
        <f t="shared" si="9"/>
        <v>5865</v>
      </c>
    </row>
    <row r="101" spans="1:6" x14ac:dyDescent="0.3">
      <c r="A101" s="145" t="s">
        <v>161</v>
      </c>
      <c r="B101" s="13" t="s">
        <v>91</v>
      </c>
      <c r="C101" s="10" t="s">
        <v>18</v>
      </c>
      <c r="D101" s="80">
        <v>1</v>
      </c>
      <c r="E101" s="127">
        <f>13440*$E$401</f>
        <v>15455.999999999998</v>
      </c>
      <c r="F101" s="81">
        <f t="shared" si="9"/>
        <v>15456</v>
      </c>
    </row>
    <row r="102" spans="1:6" x14ac:dyDescent="0.3">
      <c r="A102" s="145" t="s">
        <v>162</v>
      </c>
      <c r="B102" s="13" t="s">
        <v>93</v>
      </c>
      <c r="C102" s="10" t="s">
        <v>18</v>
      </c>
      <c r="D102" s="80">
        <v>1</v>
      </c>
      <c r="E102" s="127">
        <f>50000*$E$401</f>
        <v>57499.999999999993</v>
      </c>
      <c r="F102" s="81">
        <f t="shared" si="9"/>
        <v>57500</v>
      </c>
    </row>
    <row r="103" spans="1:6" collapsed="1" x14ac:dyDescent="0.3">
      <c r="A103" s="144" t="s">
        <v>163</v>
      </c>
      <c r="B103" s="18" t="s">
        <v>136</v>
      </c>
      <c r="C103" s="18" t="s">
        <v>18</v>
      </c>
      <c r="D103" s="86">
        <v>1</v>
      </c>
      <c r="E103" s="78">
        <f>SUM(F104:F108)</f>
        <v>65550</v>
      </c>
      <c r="F103" s="79">
        <f t="shared" si="9"/>
        <v>65550</v>
      </c>
    </row>
    <row r="104" spans="1:6" x14ac:dyDescent="0.3">
      <c r="A104" s="145" t="s">
        <v>164</v>
      </c>
      <c r="B104" s="43" t="s">
        <v>97</v>
      </c>
      <c r="C104" s="44" t="s">
        <v>18</v>
      </c>
      <c r="D104" s="80">
        <v>1</v>
      </c>
      <c r="E104" s="81">
        <f>25000*$E$401</f>
        <v>28749.999999999996</v>
      </c>
      <c r="F104" s="81">
        <f t="shared" si="9"/>
        <v>28750</v>
      </c>
    </row>
    <row r="105" spans="1:6" x14ac:dyDescent="0.3">
      <c r="A105" s="145" t="s">
        <v>165</v>
      </c>
      <c r="B105" s="45" t="s">
        <v>100</v>
      </c>
      <c r="C105" s="44" t="s">
        <v>18</v>
      </c>
      <c r="D105" s="80">
        <v>1</v>
      </c>
      <c r="E105" s="81">
        <f>16000*$E$401</f>
        <v>18400</v>
      </c>
      <c r="F105" s="81">
        <f t="shared" si="9"/>
        <v>18400</v>
      </c>
    </row>
    <row r="106" spans="1:6" x14ac:dyDescent="0.3">
      <c r="A106" s="145" t="s">
        <v>166</v>
      </c>
      <c r="B106" s="57" t="s">
        <v>102</v>
      </c>
      <c r="C106" s="44" t="s">
        <v>18</v>
      </c>
      <c r="D106" s="80">
        <v>1</v>
      </c>
      <c r="E106" s="103">
        <f>10500*$E$401</f>
        <v>12074.999999999998</v>
      </c>
      <c r="F106" s="81">
        <f t="shared" si="9"/>
        <v>12075</v>
      </c>
    </row>
    <row r="107" spans="1:6" x14ac:dyDescent="0.3">
      <c r="A107" s="145" t="s">
        <v>167</v>
      </c>
      <c r="B107" s="57" t="s">
        <v>104</v>
      </c>
      <c r="C107" s="44" t="s">
        <v>18</v>
      </c>
      <c r="D107" s="80">
        <v>1</v>
      </c>
      <c r="E107" s="81">
        <f>2500*$E$401</f>
        <v>2875</v>
      </c>
      <c r="F107" s="81">
        <f t="shared" si="9"/>
        <v>2875</v>
      </c>
    </row>
    <row r="108" spans="1:6" x14ac:dyDescent="0.3">
      <c r="A108" s="145" t="s">
        <v>168</v>
      </c>
      <c r="B108" s="57" t="s">
        <v>106</v>
      </c>
      <c r="C108" s="44" t="s">
        <v>18</v>
      </c>
      <c r="D108" s="80">
        <v>1</v>
      </c>
      <c r="E108" s="81">
        <f>3000*$E$401</f>
        <v>3449.9999999999995</v>
      </c>
      <c r="F108" s="81">
        <f t="shared" si="9"/>
        <v>3450</v>
      </c>
    </row>
    <row r="109" spans="1:6" collapsed="1" x14ac:dyDescent="0.3">
      <c r="A109" s="144" t="s">
        <v>169</v>
      </c>
      <c r="B109" s="18" t="s">
        <v>108</v>
      </c>
      <c r="C109" s="18" t="s">
        <v>18</v>
      </c>
      <c r="D109" s="86">
        <v>1</v>
      </c>
      <c r="E109" s="78">
        <f>SUM(F110:F114)</f>
        <v>21850</v>
      </c>
      <c r="F109" s="79">
        <f t="shared" si="9"/>
        <v>21850</v>
      </c>
    </row>
    <row r="110" spans="1:6" x14ac:dyDescent="0.3">
      <c r="A110" s="145" t="s">
        <v>170</v>
      </c>
      <c r="B110" s="12" t="s">
        <v>110</v>
      </c>
      <c r="C110" s="44" t="s">
        <v>18</v>
      </c>
      <c r="D110" s="80">
        <v>1</v>
      </c>
      <c r="E110" s="129">
        <f>2000*$E$401</f>
        <v>2300</v>
      </c>
      <c r="F110" s="81">
        <f t="shared" si="9"/>
        <v>2300</v>
      </c>
    </row>
    <row r="111" spans="1:6" x14ac:dyDescent="0.3">
      <c r="A111" s="145" t="s">
        <v>171</v>
      </c>
      <c r="B111" s="12" t="s">
        <v>112</v>
      </c>
      <c r="C111" s="44" t="s">
        <v>18</v>
      </c>
      <c r="D111" s="80">
        <v>1</v>
      </c>
      <c r="E111" s="129">
        <f>7000*$E$401</f>
        <v>8049.9999999999991</v>
      </c>
      <c r="F111" s="81">
        <f t="shared" si="9"/>
        <v>8050</v>
      </c>
    </row>
    <row r="112" spans="1:6" x14ac:dyDescent="0.3">
      <c r="A112" s="145" t="s">
        <v>172</v>
      </c>
      <c r="B112" s="12" t="s">
        <v>114</v>
      </c>
      <c r="C112" s="44" t="s">
        <v>18</v>
      </c>
      <c r="D112" s="80">
        <v>1</v>
      </c>
      <c r="E112" s="129">
        <f>3500*$E$401</f>
        <v>4024.9999999999995</v>
      </c>
      <c r="F112" s="81">
        <f t="shared" si="9"/>
        <v>4025</v>
      </c>
    </row>
    <row r="113" spans="1:6" x14ac:dyDescent="0.3">
      <c r="A113" s="145" t="s">
        <v>173</v>
      </c>
      <c r="B113" s="12" t="s">
        <v>116</v>
      </c>
      <c r="C113" s="44" t="s">
        <v>18</v>
      </c>
      <c r="D113" s="80">
        <v>1</v>
      </c>
      <c r="E113" s="129">
        <f>500*$E$401</f>
        <v>575</v>
      </c>
      <c r="F113" s="81">
        <f t="shared" si="9"/>
        <v>575</v>
      </c>
    </row>
    <row r="114" spans="1:6" ht="15" thickBot="1" x14ac:dyDescent="0.35">
      <c r="A114" s="145" t="s">
        <v>174</v>
      </c>
      <c r="B114" s="12" t="s">
        <v>118</v>
      </c>
      <c r="C114" s="44" t="s">
        <v>18</v>
      </c>
      <c r="D114" s="80">
        <v>1</v>
      </c>
      <c r="E114" s="129">
        <f>6000*$E$401</f>
        <v>6899.9999999999991</v>
      </c>
      <c r="F114" s="93">
        <f t="shared" si="9"/>
        <v>6900</v>
      </c>
    </row>
    <row r="115" spans="1:6" ht="15" collapsed="1" thickBot="1" x14ac:dyDescent="0.35">
      <c r="A115" s="143"/>
      <c r="B115" s="104" t="str">
        <f>CONCATENATE("Viso (",B90,")")</f>
        <v>Viso (Pirminis nusodintuvas 1)</v>
      </c>
      <c r="C115" s="105"/>
      <c r="D115" s="106"/>
      <c r="E115" s="111"/>
      <c r="F115" s="94">
        <f>F91+F97+F103+F109</f>
        <v>1617948.28</v>
      </c>
    </row>
    <row r="116" spans="1:6" x14ac:dyDescent="0.3">
      <c r="A116" s="142" t="s">
        <v>175</v>
      </c>
      <c r="B116" s="92" t="s">
        <v>176</v>
      </c>
      <c r="C116" s="92"/>
      <c r="D116" s="101"/>
      <c r="E116" s="102"/>
      <c r="F116" s="115"/>
    </row>
    <row r="117" spans="1:6" x14ac:dyDescent="0.3">
      <c r="A117" s="144" t="s">
        <v>177</v>
      </c>
      <c r="B117" s="18" t="s">
        <v>122</v>
      </c>
      <c r="C117" s="18" t="s">
        <v>18</v>
      </c>
      <c r="D117" s="86">
        <v>1</v>
      </c>
      <c r="E117" s="78">
        <f>SUM(F118:F123)</f>
        <v>318685.98</v>
      </c>
      <c r="F117" s="79">
        <f>ROUND(D117*E117,2)</f>
        <v>318685.98</v>
      </c>
    </row>
    <row r="118" spans="1:6" x14ac:dyDescent="0.3">
      <c r="A118" s="145" t="s">
        <v>178</v>
      </c>
      <c r="B118" s="9" t="s">
        <v>179</v>
      </c>
      <c r="C118" s="44" t="s">
        <v>18</v>
      </c>
      <c r="D118" s="80">
        <v>1</v>
      </c>
      <c r="E118" s="126">
        <f>20461.39*$E$401</f>
        <v>23530.598499999996</v>
      </c>
      <c r="F118" s="81">
        <f t="shared" ref="F118:F122" si="10">ROUND(D118*E118,2)</f>
        <v>23530.6</v>
      </c>
    </row>
    <row r="119" spans="1:6" x14ac:dyDescent="0.3">
      <c r="A119" s="145" t="s">
        <v>180</v>
      </c>
      <c r="B119" s="11" t="s">
        <v>181</v>
      </c>
      <c r="C119" s="44" t="s">
        <v>18</v>
      </c>
      <c r="D119" s="80">
        <v>1</v>
      </c>
      <c r="E119" s="126">
        <f>45926.29*$E$401</f>
        <v>52815.233499999995</v>
      </c>
      <c r="F119" s="81">
        <f t="shared" si="10"/>
        <v>52815.23</v>
      </c>
    </row>
    <row r="120" spans="1:6" x14ac:dyDescent="0.3">
      <c r="A120" s="145" t="s">
        <v>182</v>
      </c>
      <c r="B120" s="11" t="s">
        <v>183</v>
      </c>
      <c r="C120" s="44" t="s">
        <v>18</v>
      </c>
      <c r="D120" s="80">
        <v>1</v>
      </c>
      <c r="E120" s="126">
        <f>7385*$E$401</f>
        <v>8492.75</v>
      </c>
      <c r="F120" s="81">
        <f t="shared" si="10"/>
        <v>8492.75</v>
      </c>
    </row>
    <row r="121" spans="1:6" x14ac:dyDescent="0.3">
      <c r="A121" s="145" t="s">
        <v>184</v>
      </c>
      <c r="B121" s="11" t="s">
        <v>185</v>
      </c>
      <c r="C121" s="44" t="s">
        <v>18</v>
      </c>
      <c r="D121" s="80">
        <v>1</v>
      </c>
      <c r="E121" s="126">
        <f>14857*$E$401</f>
        <v>17085.55</v>
      </c>
      <c r="F121" s="81">
        <f t="shared" si="10"/>
        <v>17085.55</v>
      </c>
    </row>
    <row r="122" spans="1:6" ht="16.2" customHeight="1" x14ac:dyDescent="0.3">
      <c r="A122" s="145" t="s">
        <v>186</v>
      </c>
      <c r="B122" s="155" t="s">
        <v>187</v>
      </c>
      <c r="C122" s="44" t="s">
        <v>18</v>
      </c>
      <c r="D122" s="80">
        <v>1</v>
      </c>
      <c r="E122" s="154">
        <f>(43895.39*$E$401)-29845.75</f>
        <v>20633.948499999999</v>
      </c>
      <c r="F122" s="156">
        <f t="shared" si="10"/>
        <v>20633.95</v>
      </c>
    </row>
    <row r="123" spans="1:6" x14ac:dyDescent="0.3">
      <c r="A123" s="145" t="s">
        <v>188</v>
      </c>
      <c r="B123" s="155" t="s">
        <v>189</v>
      </c>
      <c r="C123" s="44" t="s">
        <v>18</v>
      </c>
      <c r="D123" s="80">
        <v>1</v>
      </c>
      <c r="E123" s="154">
        <v>196127.9</v>
      </c>
      <c r="F123" s="156">
        <f t="shared" ref="F123" si="11">ROUND(D123*E123,2)</f>
        <v>196127.9</v>
      </c>
    </row>
    <row r="124" spans="1:6" collapsed="1" x14ac:dyDescent="0.3">
      <c r="A124" s="144" t="s">
        <v>190</v>
      </c>
      <c r="B124" s="18" t="s">
        <v>84</v>
      </c>
      <c r="C124" s="18" t="s">
        <v>18</v>
      </c>
      <c r="D124" s="86">
        <v>1</v>
      </c>
      <c r="E124" s="78">
        <f>SUM(F125:F129)</f>
        <v>171474.69</v>
      </c>
      <c r="F124" s="79">
        <f>ROUND(D124*E124,2)</f>
        <v>171474.69</v>
      </c>
    </row>
    <row r="125" spans="1:6" x14ac:dyDescent="0.3">
      <c r="A125" s="145" t="s">
        <v>191</v>
      </c>
      <c r="B125" s="45" t="s">
        <v>192</v>
      </c>
      <c r="C125" s="44" t="s">
        <v>18</v>
      </c>
      <c r="D125" s="80">
        <v>1</v>
      </c>
      <c r="E125" s="108">
        <f>84683.2*$E$401</f>
        <v>97385.68</v>
      </c>
      <c r="F125" s="81">
        <f t="shared" ref="F125:F129" si="12">ROUND(D125*E125,2)</f>
        <v>97385.68</v>
      </c>
    </row>
    <row r="126" spans="1:6" x14ac:dyDescent="0.3">
      <c r="A126" s="145" t="s">
        <v>193</v>
      </c>
      <c r="B126" s="45" t="s">
        <v>194</v>
      </c>
      <c r="C126" s="44" t="s">
        <v>18</v>
      </c>
      <c r="D126" s="80">
        <v>1</v>
      </c>
      <c r="E126" s="81">
        <f>25490.8*$E$401</f>
        <v>29314.42</v>
      </c>
      <c r="F126" s="81">
        <f t="shared" si="12"/>
        <v>29314.42</v>
      </c>
    </row>
    <row r="127" spans="1:6" x14ac:dyDescent="0.3">
      <c r="A127" s="145" t="s">
        <v>195</v>
      </c>
      <c r="B127" s="45" t="s">
        <v>196</v>
      </c>
      <c r="C127" s="44" t="s">
        <v>18</v>
      </c>
      <c r="D127" s="80">
        <v>1</v>
      </c>
      <c r="E127" s="103">
        <f>19691.28*$E$401</f>
        <v>22644.971999999998</v>
      </c>
      <c r="F127" s="81">
        <f t="shared" si="12"/>
        <v>22644.97</v>
      </c>
    </row>
    <row r="128" spans="1:6" x14ac:dyDescent="0.3">
      <c r="A128" s="145" t="s">
        <v>197</v>
      </c>
      <c r="B128" s="57" t="s">
        <v>91</v>
      </c>
      <c r="C128" s="44" t="s">
        <v>18</v>
      </c>
      <c r="D128" s="80">
        <v>1</v>
      </c>
      <c r="E128" s="108">
        <f>10243.15*$E$401</f>
        <v>11779.622499999999</v>
      </c>
      <c r="F128" s="81">
        <f t="shared" si="12"/>
        <v>11779.62</v>
      </c>
    </row>
    <row r="129" spans="1:6" x14ac:dyDescent="0.3">
      <c r="A129" s="145" t="s">
        <v>198</v>
      </c>
      <c r="B129" s="57" t="s">
        <v>93</v>
      </c>
      <c r="C129" s="44" t="s">
        <v>18</v>
      </c>
      <c r="D129" s="80">
        <v>1</v>
      </c>
      <c r="E129" s="103">
        <f>9000*$E$401</f>
        <v>10350</v>
      </c>
      <c r="F129" s="81">
        <f t="shared" si="12"/>
        <v>10350</v>
      </c>
    </row>
    <row r="130" spans="1:6" collapsed="1" x14ac:dyDescent="0.3">
      <c r="A130" s="144" t="s">
        <v>199</v>
      </c>
      <c r="B130" s="18" t="s">
        <v>136</v>
      </c>
      <c r="C130" s="18" t="s">
        <v>18</v>
      </c>
      <c r="D130" s="86">
        <v>1</v>
      </c>
      <c r="E130" s="78">
        <f>SUM(F131:F135)</f>
        <v>51750</v>
      </c>
      <c r="F130" s="79">
        <f>ROUND(D130*E130,2)</f>
        <v>51750</v>
      </c>
    </row>
    <row r="131" spans="1:6" x14ac:dyDescent="0.3">
      <c r="A131" s="145" t="s">
        <v>200</v>
      </c>
      <c r="B131" s="12" t="s">
        <v>97</v>
      </c>
      <c r="C131" s="44" t="s">
        <v>18</v>
      </c>
      <c r="D131" s="80">
        <v>1</v>
      </c>
      <c r="E131" s="129">
        <f>17710*$E$401</f>
        <v>20366.5</v>
      </c>
      <c r="F131" s="81">
        <f t="shared" ref="F131:F136" si="13">ROUND(D131*E131,2)</f>
        <v>20366.5</v>
      </c>
    </row>
    <row r="132" spans="1:6" x14ac:dyDescent="0.3">
      <c r="A132" s="145" t="s">
        <v>201</v>
      </c>
      <c r="B132" s="12" t="s">
        <v>100</v>
      </c>
      <c r="C132" s="44" t="s">
        <v>18</v>
      </c>
      <c r="D132" s="80">
        <v>1</v>
      </c>
      <c r="E132" s="129">
        <f>8000*$E$401</f>
        <v>9200</v>
      </c>
      <c r="F132" s="81">
        <f t="shared" si="13"/>
        <v>9200</v>
      </c>
    </row>
    <row r="133" spans="1:6" x14ac:dyDescent="0.3">
      <c r="A133" s="145" t="s">
        <v>202</v>
      </c>
      <c r="B133" s="12" t="s">
        <v>102</v>
      </c>
      <c r="C133" s="44" t="s">
        <v>18</v>
      </c>
      <c r="D133" s="80">
        <v>1</v>
      </c>
      <c r="E133" s="129">
        <f>5500*$E$401</f>
        <v>6324.9999999999991</v>
      </c>
      <c r="F133" s="81">
        <f t="shared" si="13"/>
        <v>6325</v>
      </c>
    </row>
    <row r="134" spans="1:6" x14ac:dyDescent="0.3">
      <c r="A134" s="145" t="s">
        <v>203</v>
      </c>
      <c r="B134" s="12" t="s">
        <v>104</v>
      </c>
      <c r="C134" s="44" t="s">
        <v>18</v>
      </c>
      <c r="D134" s="80">
        <v>1</v>
      </c>
      <c r="E134" s="129">
        <f>3000*$E$401</f>
        <v>3449.9999999999995</v>
      </c>
      <c r="F134" s="81">
        <f t="shared" si="13"/>
        <v>3450</v>
      </c>
    </row>
    <row r="135" spans="1:6" x14ac:dyDescent="0.3">
      <c r="A135" s="145" t="s">
        <v>204</v>
      </c>
      <c r="B135" s="12" t="s">
        <v>205</v>
      </c>
      <c r="C135" s="44" t="s">
        <v>18</v>
      </c>
      <c r="D135" s="80">
        <v>1</v>
      </c>
      <c r="E135" s="129">
        <f>10790*$E$401</f>
        <v>12408.499999999998</v>
      </c>
      <c r="F135" s="81">
        <f t="shared" si="13"/>
        <v>12408.5</v>
      </c>
    </row>
    <row r="136" spans="1:6" x14ac:dyDescent="0.3">
      <c r="A136" s="144" t="s">
        <v>206</v>
      </c>
      <c r="B136" s="18" t="s">
        <v>207</v>
      </c>
      <c r="C136" s="18" t="s">
        <v>18</v>
      </c>
      <c r="D136" s="86">
        <v>1</v>
      </c>
      <c r="E136" s="78">
        <f>2478*$E$401</f>
        <v>2849.7</v>
      </c>
      <c r="F136" s="78">
        <f t="shared" si="13"/>
        <v>2849.7</v>
      </c>
    </row>
    <row r="137" spans="1:6" collapsed="1" x14ac:dyDescent="0.3">
      <c r="A137" s="144" t="s">
        <v>208</v>
      </c>
      <c r="B137" s="18" t="s">
        <v>108</v>
      </c>
      <c r="C137" s="18" t="s">
        <v>18</v>
      </c>
      <c r="D137" s="86">
        <v>1</v>
      </c>
      <c r="E137" s="78">
        <f>SUM(F138:F142)</f>
        <v>25300</v>
      </c>
      <c r="F137" s="109">
        <f>ROUND(D137*E137,2)</f>
        <v>25300</v>
      </c>
    </row>
    <row r="138" spans="1:6" x14ac:dyDescent="0.3">
      <c r="A138" s="145" t="s">
        <v>209</v>
      </c>
      <c r="B138" s="5" t="s">
        <v>110</v>
      </c>
      <c r="C138" s="6" t="s">
        <v>18</v>
      </c>
      <c r="D138" s="80">
        <v>1</v>
      </c>
      <c r="E138" s="89">
        <f>3000*$E$401</f>
        <v>3449.9999999999995</v>
      </c>
      <c r="F138" s="81">
        <f t="shared" ref="F138:F142" si="14">ROUND(D138*E138,2)</f>
        <v>3450</v>
      </c>
    </row>
    <row r="139" spans="1:6" x14ac:dyDescent="0.3">
      <c r="A139" s="145" t="s">
        <v>210</v>
      </c>
      <c r="B139" s="5" t="s">
        <v>112</v>
      </c>
      <c r="C139" s="6" t="s">
        <v>18</v>
      </c>
      <c r="D139" s="80">
        <v>1</v>
      </c>
      <c r="E139" s="89">
        <f>6000*$E$401</f>
        <v>6899.9999999999991</v>
      </c>
      <c r="F139" s="81">
        <f t="shared" si="14"/>
        <v>6900</v>
      </c>
    </row>
    <row r="140" spans="1:6" x14ac:dyDescent="0.3">
      <c r="A140" s="145" t="s">
        <v>211</v>
      </c>
      <c r="B140" s="5" t="s">
        <v>114</v>
      </c>
      <c r="C140" s="6" t="s">
        <v>18</v>
      </c>
      <c r="D140" s="80">
        <v>1</v>
      </c>
      <c r="E140" s="89">
        <f>3500*$E$401</f>
        <v>4024.9999999999995</v>
      </c>
      <c r="F140" s="81">
        <f t="shared" si="14"/>
        <v>4025</v>
      </c>
    </row>
    <row r="141" spans="1:6" x14ac:dyDescent="0.3">
      <c r="A141" s="145" t="s">
        <v>212</v>
      </c>
      <c r="B141" s="5" t="s">
        <v>116</v>
      </c>
      <c r="C141" s="6" t="s">
        <v>18</v>
      </c>
      <c r="D141" s="80">
        <v>1</v>
      </c>
      <c r="E141" s="89">
        <f>500*$E$401</f>
        <v>575</v>
      </c>
      <c r="F141" s="81">
        <f t="shared" si="14"/>
        <v>575</v>
      </c>
    </row>
    <row r="142" spans="1:6" ht="15" thickBot="1" x14ac:dyDescent="0.35">
      <c r="A142" s="145" t="s">
        <v>213</v>
      </c>
      <c r="B142" s="5" t="s">
        <v>118</v>
      </c>
      <c r="C142" s="6" t="s">
        <v>18</v>
      </c>
      <c r="D142" s="80">
        <v>1</v>
      </c>
      <c r="E142" s="89">
        <f>9000*$E$401</f>
        <v>10350</v>
      </c>
      <c r="F142" s="93">
        <f t="shared" si="14"/>
        <v>10350</v>
      </c>
    </row>
    <row r="143" spans="1:6" ht="15" collapsed="1" thickBot="1" x14ac:dyDescent="0.35">
      <c r="A143" s="143"/>
      <c r="B143" s="104" t="str">
        <f>CONCATENATE("Viso (",B116,")")</f>
        <v>Viso (Pirminių nusodintuvų išplūdų sutvarkymo sistema)</v>
      </c>
      <c r="C143" s="105"/>
      <c r="D143" s="106"/>
      <c r="E143" s="111"/>
      <c r="F143" s="94">
        <f>F117+F124+F130+F136+F137</f>
        <v>570060.36999999988</v>
      </c>
    </row>
    <row r="144" spans="1:6" ht="64.2" customHeight="1" x14ac:dyDescent="0.3">
      <c r="A144" s="142" t="s">
        <v>214</v>
      </c>
      <c r="B144" s="92" t="s">
        <v>215</v>
      </c>
      <c r="C144" s="92"/>
      <c r="D144" s="101"/>
      <c r="E144" s="102"/>
      <c r="F144" s="115"/>
    </row>
    <row r="145" spans="1:6" x14ac:dyDescent="0.3">
      <c r="A145" s="144" t="s">
        <v>216</v>
      </c>
      <c r="B145" s="18" t="s">
        <v>72</v>
      </c>
      <c r="C145" s="18" t="s">
        <v>18</v>
      </c>
      <c r="D145" s="86">
        <v>1</v>
      </c>
      <c r="E145" s="78">
        <f>SUM(F146:F148)</f>
        <v>38125.270000000004</v>
      </c>
      <c r="F145" s="79">
        <f>ROUND(D145*E145,2)</f>
        <v>38125.269999999997</v>
      </c>
    </row>
    <row r="146" spans="1:6" x14ac:dyDescent="0.3">
      <c r="A146" s="145" t="s">
        <v>217</v>
      </c>
      <c r="B146" s="9" t="s">
        <v>74</v>
      </c>
      <c r="C146" s="6" t="s">
        <v>18</v>
      </c>
      <c r="D146" s="80">
        <v>1</v>
      </c>
      <c r="E146" s="126">
        <f>4367.85*$E$401</f>
        <v>5023.0275000000001</v>
      </c>
      <c r="F146" s="81">
        <f t="shared" ref="F146:F148" si="15">ROUND(D146*E146,2)</f>
        <v>5023.03</v>
      </c>
    </row>
    <row r="147" spans="1:6" x14ac:dyDescent="0.3">
      <c r="A147" s="145" t="s">
        <v>218</v>
      </c>
      <c r="B147" s="11" t="s">
        <v>219</v>
      </c>
      <c r="C147" s="6" t="s">
        <v>18</v>
      </c>
      <c r="D147" s="80">
        <v>1</v>
      </c>
      <c r="E147" s="126">
        <f>8473.05*$E$401</f>
        <v>9744.0074999999979</v>
      </c>
      <c r="F147" s="81">
        <f t="shared" si="15"/>
        <v>9744.01</v>
      </c>
    </row>
    <row r="148" spans="1:6" x14ac:dyDescent="0.3">
      <c r="A148" s="145" t="s">
        <v>220</v>
      </c>
      <c r="B148" s="11" t="s">
        <v>221</v>
      </c>
      <c r="C148" s="6" t="s">
        <v>18</v>
      </c>
      <c r="D148" s="80">
        <v>1</v>
      </c>
      <c r="E148" s="126">
        <f>20311.5*$E$401</f>
        <v>23358.224999999999</v>
      </c>
      <c r="F148" s="81">
        <f t="shared" si="15"/>
        <v>23358.23</v>
      </c>
    </row>
    <row r="149" spans="1:6" collapsed="1" x14ac:dyDescent="0.3">
      <c r="A149" s="144" t="s">
        <v>222</v>
      </c>
      <c r="B149" s="18" t="s">
        <v>84</v>
      </c>
      <c r="C149" s="18" t="s">
        <v>18</v>
      </c>
      <c r="D149" s="86">
        <v>1</v>
      </c>
      <c r="E149" s="78">
        <f>SUM(F150:F152)</f>
        <v>207226.32</v>
      </c>
      <c r="F149" s="79">
        <f>ROUND(D149*E149,2)</f>
        <v>207226.32</v>
      </c>
    </row>
    <row r="150" spans="1:6" x14ac:dyDescent="0.3">
      <c r="A150" s="145" t="s">
        <v>223</v>
      </c>
      <c r="B150" s="13" t="s">
        <v>224</v>
      </c>
      <c r="C150" s="6" t="s">
        <v>18</v>
      </c>
      <c r="D150" s="80">
        <v>1</v>
      </c>
      <c r="E150" s="130">
        <f>160337.6*$E$401</f>
        <v>184388.24</v>
      </c>
      <c r="F150" s="81">
        <f t="shared" ref="F150:F152" si="16">ROUND(D150*E150,2)</f>
        <v>184388.24</v>
      </c>
    </row>
    <row r="151" spans="1:6" x14ac:dyDescent="0.3">
      <c r="A151" s="145" t="s">
        <v>225</v>
      </c>
      <c r="B151" s="13" t="s">
        <v>226</v>
      </c>
      <c r="C151" s="6" t="s">
        <v>18</v>
      </c>
      <c r="D151" s="112">
        <v>1</v>
      </c>
      <c r="E151" s="127">
        <f>15859.2*$E$401</f>
        <v>18238.079999999998</v>
      </c>
      <c r="F151" s="113">
        <f t="shared" si="16"/>
        <v>18238.080000000002</v>
      </c>
    </row>
    <row r="152" spans="1:6" x14ac:dyDescent="0.3">
      <c r="A152" s="145" t="s">
        <v>227</v>
      </c>
      <c r="B152" s="13" t="s">
        <v>93</v>
      </c>
      <c r="C152" s="6" t="s">
        <v>18</v>
      </c>
      <c r="D152" s="80">
        <v>1</v>
      </c>
      <c r="E152" s="131">
        <f>4000*$E$401</f>
        <v>4600</v>
      </c>
      <c r="F152" s="81">
        <f t="shared" si="16"/>
        <v>4600</v>
      </c>
    </row>
    <row r="153" spans="1:6" collapsed="1" x14ac:dyDescent="0.3">
      <c r="A153" s="144" t="s">
        <v>228</v>
      </c>
      <c r="B153" s="18" t="s">
        <v>136</v>
      </c>
      <c r="C153" s="18" t="s">
        <v>18</v>
      </c>
      <c r="D153" s="86">
        <v>1</v>
      </c>
      <c r="E153" s="78">
        <f>SUM(F154:F157)</f>
        <v>11500</v>
      </c>
      <c r="F153" s="79">
        <f>ROUND(D153*E153,2)</f>
        <v>11500</v>
      </c>
    </row>
    <row r="154" spans="1:6" x14ac:dyDescent="0.3">
      <c r="A154" s="145" t="s">
        <v>229</v>
      </c>
      <c r="B154" s="43" t="s">
        <v>97</v>
      </c>
      <c r="C154" s="44" t="s">
        <v>18</v>
      </c>
      <c r="D154" s="80">
        <v>1</v>
      </c>
      <c r="E154" s="108">
        <f>5500*$E$401</f>
        <v>6324.9999999999991</v>
      </c>
      <c r="F154" s="81">
        <f t="shared" ref="F154:F157" si="17">ROUND(D154*E154,2)</f>
        <v>6325</v>
      </c>
    </row>
    <row r="155" spans="1:6" x14ac:dyDescent="0.3">
      <c r="A155" s="145" t="s">
        <v>230</v>
      </c>
      <c r="B155" s="45" t="s">
        <v>100</v>
      </c>
      <c r="C155" s="44" t="s">
        <v>18</v>
      </c>
      <c r="D155" s="80">
        <v>1</v>
      </c>
      <c r="E155" s="81">
        <f>3000*$E$401</f>
        <v>3449.9999999999995</v>
      </c>
      <c r="F155" s="81">
        <f t="shared" si="17"/>
        <v>3450</v>
      </c>
    </row>
    <row r="156" spans="1:6" x14ac:dyDescent="0.3">
      <c r="A156" s="145" t="s">
        <v>231</v>
      </c>
      <c r="B156" s="57" t="s">
        <v>102</v>
      </c>
      <c r="C156" s="44" t="s">
        <v>18</v>
      </c>
      <c r="D156" s="80">
        <v>1</v>
      </c>
      <c r="E156" s="103">
        <f>1000*$E$401</f>
        <v>1150</v>
      </c>
      <c r="F156" s="81">
        <f t="shared" si="17"/>
        <v>1150</v>
      </c>
    </row>
    <row r="157" spans="1:6" x14ac:dyDescent="0.3">
      <c r="A157" s="145" t="s">
        <v>232</v>
      </c>
      <c r="B157" s="57" t="s">
        <v>104</v>
      </c>
      <c r="C157" s="44" t="s">
        <v>18</v>
      </c>
      <c r="D157" s="80">
        <v>1</v>
      </c>
      <c r="E157" s="81">
        <f>500*$E$401</f>
        <v>575</v>
      </c>
      <c r="F157" s="81">
        <f t="shared" si="17"/>
        <v>575</v>
      </c>
    </row>
    <row r="158" spans="1:6" collapsed="1" x14ac:dyDescent="0.3">
      <c r="A158" s="144" t="s">
        <v>233</v>
      </c>
      <c r="B158" s="18" t="s">
        <v>108</v>
      </c>
      <c r="C158" s="18" t="s">
        <v>18</v>
      </c>
      <c r="D158" s="86">
        <v>1</v>
      </c>
      <c r="E158" s="78">
        <f>SUM(F159:F162)</f>
        <v>12075</v>
      </c>
      <c r="F158" s="79">
        <f>ROUND(D158*E158,2)</f>
        <v>12075</v>
      </c>
    </row>
    <row r="159" spans="1:6" x14ac:dyDescent="0.3">
      <c r="A159" s="145" t="s">
        <v>234</v>
      </c>
      <c r="B159" s="5" t="s">
        <v>110</v>
      </c>
      <c r="C159" s="6" t="s">
        <v>18</v>
      </c>
      <c r="D159" s="80">
        <v>1</v>
      </c>
      <c r="E159" s="89">
        <f>1000*$E$401</f>
        <v>1150</v>
      </c>
      <c r="F159" s="81">
        <f t="shared" ref="F159:F162" si="18">ROUND(D159*E159,2)</f>
        <v>1150</v>
      </c>
    </row>
    <row r="160" spans="1:6" x14ac:dyDescent="0.3">
      <c r="A160" s="145" t="s">
        <v>235</v>
      </c>
      <c r="B160" s="5" t="s">
        <v>112</v>
      </c>
      <c r="C160" s="6" t="s">
        <v>18</v>
      </c>
      <c r="D160" s="80">
        <v>1</v>
      </c>
      <c r="E160" s="89">
        <f>1000*$E$401</f>
        <v>1150</v>
      </c>
      <c r="F160" s="81">
        <f t="shared" si="18"/>
        <v>1150</v>
      </c>
    </row>
    <row r="161" spans="1:6" x14ac:dyDescent="0.3">
      <c r="A161" s="145" t="s">
        <v>236</v>
      </c>
      <c r="B161" s="5" t="s">
        <v>114</v>
      </c>
      <c r="C161" s="6" t="s">
        <v>18</v>
      </c>
      <c r="D161" s="80">
        <v>1</v>
      </c>
      <c r="E161" s="89">
        <f>500*$E$401</f>
        <v>575</v>
      </c>
      <c r="F161" s="81">
        <f t="shared" si="18"/>
        <v>575</v>
      </c>
    </row>
    <row r="162" spans="1:6" x14ac:dyDescent="0.3">
      <c r="A162" s="145" t="s">
        <v>237</v>
      </c>
      <c r="B162" s="5" t="s">
        <v>118</v>
      </c>
      <c r="C162" s="6" t="s">
        <v>18</v>
      </c>
      <c r="D162" s="80">
        <v>1</v>
      </c>
      <c r="E162" s="89">
        <f>8000*$E$401</f>
        <v>9200</v>
      </c>
      <c r="F162" s="81">
        <f t="shared" si="18"/>
        <v>9200</v>
      </c>
    </row>
    <row r="163" spans="1:6" collapsed="1" x14ac:dyDescent="0.3">
      <c r="A163" s="144" t="s">
        <v>238</v>
      </c>
      <c r="B163" s="18" t="s">
        <v>239</v>
      </c>
      <c r="C163" s="18" t="s">
        <v>18</v>
      </c>
      <c r="D163" s="86">
        <v>1</v>
      </c>
      <c r="E163" s="78">
        <f>SUM(F164:F165)</f>
        <v>143520</v>
      </c>
      <c r="F163" s="79">
        <f>ROUND(D163*E163,2)</f>
        <v>143520</v>
      </c>
    </row>
    <row r="164" spans="1:6" x14ac:dyDescent="0.3">
      <c r="A164" s="146" t="s">
        <v>240</v>
      </c>
      <c r="B164" s="13" t="s">
        <v>241</v>
      </c>
      <c r="C164" s="6" t="s">
        <v>18</v>
      </c>
      <c r="D164" s="80">
        <v>1</v>
      </c>
      <c r="E164" s="87">
        <f>120000*$E$401</f>
        <v>138000</v>
      </c>
      <c r="F164" s="81">
        <f t="shared" ref="F164:F165" si="19">ROUND(D164*E164,2)</f>
        <v>138000</v>
      </c>
    </row>
    <row r="165" spans="1:6" ht="15" thickBot="1" x14ac:dyDescent="0.35">
      <c r="A165" s="146" t="s">
        <v>242</v>
      </c>
      <c r="B165" s="13" t="s">
        <v>243</v>
      </c>
      <c r="C165" s="6" t="s">
        <v>18</v>
      </c>
      <c r="D165" s="80">
        <v>1</v>
      </c>
      <c r="E165" s="127">
        <f>4800*$E$401</f>
        <v>5520</v>
      </c>
      <c r="F165" s="93">
        <f t="shared" si="19"/>
        <v>5520</v>
      </c>
    </row>
    <row r="166" spans="1:6" ht="42" collapsed="1" thickBot="1" x14ac:dyDescent="0.35">
      <c r="A166" s="143"/>
      <c r="B166" s="104" t="str">
        <f>CONCATENATE("Viso (",B144,")")</f>
        <v>Viso (Paskirstymo linijų kamerų įranga ir nuotekų linijos nuo kamerų iki  1 pirminio nusodintuvo ir nuo 1 pirminio nusodintuvo iki bioreaktorių)</v>
      </c>
      <c r="C166" s="105"/>
      <c r="D166" s="106"/>
      <c r="E166" s="111"/>
      <c r="F166" s="94">
        <f>F145+F149+F153+F158+F163</f>
        <v>412446.58999999997</v>
      </c>
    </row>
    <row r="167" spans="1:6" ht="41.4" x14ac:dyDescent="0.3">
      <c r="A167" s="142" t="s">
        <v>244</v>
      </c>
      <c r="B167" s="92" t="s">
        <v>245</v>
      </c>
      <c r="C167" s="92"/>
      <c r="D167" s="101"/>
      <c r="E167" s="102"/>
      <c r="F167" s="115"/>
    </row>
    <row r="168" spans="1:6" x14ac:dyDescent="0.3">
      <c r="A168" s="144" t="s">
        <v>246</v>
      </c>
      <c r="B168" s="18" t="s">
        <v>72</v>
      </c>
      <c r="C168" s="18" t="s">
        <v>18</v>
      </c>
      <c r="D168" s="86">
        <v>1</v>
      </c>
      <c r="E168" s="78">
        <f>SUM(F169:F171)</f>
        <v>38125.270000000004</v>
      </c>
      <c r="F168" s="79">
        <f t="shared" ref="F168:F188" si="20">ROUND(D168*E168,2)</f>
        <v>38125.269999999997</v>
      </c>
    </row>
    <row r="169" spans="1:6" x14ac:dyDescent="0.3">
      <c r="A169" s="145" t="s">
        <v>247</v>
      </c>
      <c r="B169" s="13" t="s">
        <v>74</v>
      </c>
      <c r="C169" s="6" t="s">
        <v>18</v>
      </c>
      <c r="D169" s="80">
        <v>1</v>
      </c>
      <c r="E169" s="127">
        <f>4367.85*$E$401</f>
        <v>5023.0275000000001</v>
      </c>
      <c r="F169" s="81">
        <f t="shared" si="20"/>
        <v>5023.03</v>
      </c>
    </row>
    <row r="170" spans="1:6" x14ac:dyDescent="0.3">
      <c r="A170" s="145" t="s">
        <v>248</v>
      </c>
      <c r="B170" s="13" t="s">
        <v>219</v>
      </c>
      <c r="C170" s="6" t="s">
        <v>18</v>
      </c>
      <c r="D170" s="80">
        <v>1</v>
      </c>
      <c r="E170" s="127">
        <f>8473.05*$E$401</f>
        <v>9744.0074999999979</v>
      </c>
      <c r="F170" s="81">
        <f t="shared" si="20"/>
        <v>9744.01</v>
      </c>
    </row>
    <row r="171" spans="1:6" x14ac:dyDescent="0.3">
      <c r="A171" s="145" t="s">
        <v>249</v>
      </c>
      <c r="B171" s="13" t="s">
        <v>221</v>
      </c>
      <c r="C171" s="6" t="s">
        <v>18</v>
      </c>
      <c r="D171" s="80">
        <v>1</v>
      </c>
      <c r="E171" s="127">
        <f>20311.5*$E$401</f>
        <v>23358.224999999999</v>
      </c>
      <c r="F171" s="81">
        <f t="shared" si="20"/>
        <v>23358.23</v>
      </c>
    </row>
    <row r="172" spans="1:6" collapsed="1" x14ac:dyDescent="0.3">
      <c r="A172" s="144" t="s">
        <v>250</v>
      </c>
      <c r="B172" s="18" t="s">
        <v>84</v>
      </c>
      <c r="C172" s="18" t="s">
        <v>18</v>
      </c>
      <c r="D172" s="86">
        <v>1</v>
      </c>
      <c r="E172" s="78">
        <f>SUM(F173:F175)</f>
        <v>207226.32</v>
      </c>
      <c r="F172" s="79">
        <f t="shared" si="20"/>
        <v>207226.32</v>
      </c>
    </row>
    <row r="173" spans="1:6" x14ac:dyDescent="0.3">
      <c r="A173" s="145" t="s">
        <v>251</v>
      </c>
      <c r="B173" s="13" t="s">
        <v>224</v>
      </c>
      <c r="C173" s="6" t="s">
        <v>18</v>
      </c>
      <c r="D173" s="80">
        <v>1</v>
      </c>
      <c r="E173" s="127">
        <f>160337.6*$E$401</f>
        <v>184388.24</v>
      </c>
      <c r="F173" s="81">
        <f t="shared" si="20"/>
        <v>184388.24</v>
      </c>
    </row>
    <row r="174" spans="1:6" x14ac:dyDescent="0.3">
      <c r="A174" s="145" t="s">
        <v>252</v>
      </c>
      <c r="B174" s="13" t="s">
        <v>226</v>
      </c>
      <c r="C174" s="6" t="s">
        <v>18</v>
      </c>
      <c r="D174" s="80">
        <v>1</v>
      </c>
      <c r="E174" s="127">
        <f>15859.2*$E$401</f>
        <v>18238.079999999998</v>
      </c>
      <c r="F174" s="81">
        <f t="shared" si="20"/>
        <v>18238.080000000002</v>
      </c>
    </row>
    <row r="175" spans="1:6" x14ac:dyDescent="0.3">
      <c r="A175" s="145" t="s">
        <v>253</v>
      </c>
      <c r="B175" s="13" t="s">
        <v>93</v>
      </c>
      <c r="C175" s="6" t="s">
        <v>18</v>
      </c>
      <c r="D175" s="80">
        <v>1</v>
      </c>
      <c r="E175" s="127">
        <f>4000*$E$401</f>
        <v>4600</v>
      </c>
      <c r="F175" s="81">
        <f t="shared" si="20"/>
        <v>4600</v>
      </c>
    </row>
    <row r="176" spans="1:6" collapsed="1" x14ac:dyDescent="0.3">
      <c r="A176" s="144" t="s">
        <v>254</v>
      </c>
      <c r="B176" s="18" t="s">
        <v>136</v>
      </c>
      <c r="C176" s="18" t="s">
        <v>18</v>
      </c>
      <c r="D176" s="86">
        <v>1</v>
      </c>
      <c r="E176" s="78">
        <f>SUM(F177:F180)</f>
        <v>11500</v>
      </c>
      <c r="F176" s="79">
        <f t="shared" si="20"/>
        <v>11500</v>
      </c>
    </row>
    <row r="177" spans="1:6" x14ac:dyDescent="0.3">
      <c r="A177" s="145" t="s">
        <v>255</v>
      </c>
      <c r="B177" s="14" t="s">
        <v>97</v>
      </c>
      <c r="C177" s="44" t="s">
        <v>18</v>
      </c>
      <c r="D177" s="80">
        <v>1</v>
      </c>
      <c r="E177" s="103">
        <f>5500*$E$401</f>
        <v>6324.9999999999991</v>
      </c>
      <c r="F177" s="81">
        <f t="shared" si="20"/>
        <v>6325</v>
      </c>
    </row>
    <row r="178" spans="1:6" x14ac:dyDescent="0.3">
      <c r="A178" s="145" t="s">
        <v>256</v>
      </c>
      <c r="B178" s="15" t="s">
        <v>100</v>
      </c>
      <c r="C178" s="44" t="s">
        <v>18</v>
      </c>
      <c r="D178" s="80">
        <v>1</v>
      </c>
      <c r="E178" s="81">
        <f>3000*$E$401</f>
        <v>3449.9999999999995</v>
      </c>
      <c r="F178" s="81">
        <f t="shared" si="20"/>
        <v>3450</v>
      </c>
    </row>
    <row r="179" spans="1:6" x14ac:dyDescent="0.3">
      <c r="A179" s="145" t="s">
        <v>257</v>
      </c>
      <c r="B179" s="15" t="s">
        <v>102</v>
      </c>
      <c r="C179" s="44" t="s">
        <v>18</v>
      </c>
      <c r="D179" s="80">
        <v>1</v>
      </c>
      <c r="E179" s="81">
        <f>1000*$E$401</f>
        <v>1150</v>
      </c>
      <c r="F179" s="81">
        <f t="shared" si="20"/>
        <v>1150</v>
      </c>
    </row>
    <row r="180" spans="1:6" x14ac:dyDescent="0.3">
      <c r="A180" s="145" t="s">
        <v>258</v>
      </c>
      <c r="B180" s="15" t="s">
        <v>104</v>
      </c>
      <c r="C180" s="44" t="s">
        <v>18</v>
      </c>
      <c r="D180" s="80">
        <v>1</v>
      </c>
      <c r="E180" s="81">
        <f>500*$E$401</f>
        <v>575</v>
      </c>
      <c r="F180" s="81">
        <f t="shared" si="20"/>
        <v>575</v>
      </c>
    </row>
    <row r="181" spans="1:6" collapsed="1" x14ac:dyDescent="0.3">
      <c r="A181" s="144" t="s">
        <v>259</v>
      </c>
      <c r="B181" s="18" t="s">
        <v>108</v>
      </c>
      <c r="C181" s="18" t="s">
        <v>18</v>
      </c>
      <c r="D181" s="86">
        <v>1</v>
      </c>
      <c r="E181" s="78">
        <f>SUM(F182:F185)</f>
        <v>10350</v>
      </c>
      <c r="F181" s="79">
        <f t="shared" si="20"/>
        <v>10350</v>
      </c>
    </row>
    <row r="182" spans="1:6" x14ac:dyDescent="0.3">
      <c r="A182" s="145" t="s">
        <v>260</v>
      </c>
      <c r="B182" s="5" t="s">
        <v>110</v>
      </c>
      <c r="C182" s="44" t="s">
        <v>18</v>
      </c>
      <c r="D182" s="80">
        <v>1</v>
      </c>
      <c r="E182" s="132">
        <f>1000*$E$401</f>
        <v>1150</v>
      </c>
      <c r="F182" s="81">
        <f t="shared" si="20"/>
        <v>1150</v>
      </c>
    </row>
    <row r="183" spans="1:6" x14ac:dyDescent="0.3">
      <c r="A183" s="145" t="s">
        <v>261</v>
      </c>
      <c r="B183" s="5" t="s">
        <v>112</v>
      </c>
      <c r="C183" s="44" t="s">
        <v>18</v>
      </c>
      <c r="D183" s="80">
        <v>1</v>
      </c>
      <c r="E183" s="132">
        <f>1000*$E$401</f>
        <v>1150</v>
      </c>
      <c r="F183" s="81">
        <f t="shared" si="20"/>
        <v>1150</v>
      </c>
    </row>
    <row r="184" spans="1:6" x14ac:dyDescent="0.3">
      <c r="A184" s="145" t="s">
        <v>262</v>
      </c>
      <c r="B184" s="5" t="s">
        <v>114</v>
      </c>
      <c r="C184" s="44" t="s">
        <v>18</v>
      </c>
      <c r="D184" s="80">
        <v>1</v>
      </c>
      <c r="E184" s="132">
        <f>500*$E$401</f>
        <v>575</v>
      </c>
      <c r="F184" s="81">
        <f t="shared" si="20"/>
        <v>575</v>
      </c>
    </row>
    <row r="185" spans="1:6" x14ac:dyDescent="0.3">
      <c r="A185" s="145" t="s">
        <v>263</v>
      </c>
      <c r="B185" s="5" t="s">
        <v>118</v>
      </c>
      <c r="C185" s="44" t="s">
        <v>18</v>
      </c>
      <c r="D185" s="80">
        <v>1</v>
      </c>
      <c r="E185" s="132">
        <f>6500*$E$401</f>
        <v>7474.9999999999991</v>
      </c>
      <c r="F185" s="81">
        <f t="shared" si="20"/>
        <v>7475</v>
      </c>
    </row>
    <row r="186" spans="1:6" collapsed="1" x14ac:dyDescent="0.3">
      <c r="A186" s="144" t="s">
        <v>264</v>
      </c>
      <c r="B186" s="18" t="s">
        <v>239</v>
      </c>
      <c r="C186" s="18" t="s">
        <v>18</v>
      </c>
      <c r="D186" s="86">
        <v>1</v>
      </c>
      <c r="E186" s="78">
        <f>SUM(F187:F188)</f>
        <v>143520</v>
      </c>
      <c r="F186" s="79">
        <f t="shared" si="20"/>
        <v>143520</v>
      </c>
    </row>
    <row r="187" spans="1:6" x14ac:dyDescent="0.3">
      <c r="A187" s="145" t="s">
        <v>265</v>
      </c>
      <c r="B187" s="13" t="s">
        <v>241</v>
      </c>
      <c r="C187" s="44" t="s">
        <v>18</v>
      </c>
      <c r="D187" s="80">
        <v>1</v>
      </c>
      <c r="E187" s="127">
        <f>120000*$E$401</f>
        <v>138000</v>
      </c>
      <c r="F187" s="81">
        <f t="shared" si="20"/>
        <v>138000</v>
      </c>
    </row>
    <row r="188" spans="1:6" ht="15" thickBot="1" x14ac:dyDescent="0.35">
      <c r="A188" s="145" t="s">
        <v>266</v>
      </c>
      <c r="B188" s="13" t="s">
        <v>243</v>
      </c>
      <c r="C188" s="44" t="s">
        <v>18</v>
      </c>
      <c r="D188" s="80">
        <v>1</v>
      </c>
      <c r="E188" s="127">
        <f>4800*$E$401</f>
        <v>5520</v>
      </c>
      <c r="F188" s="93">
        <f t="shared" si="20"/>
        <v>5520</v>
      </c>
    </row>
    <row r="189" spans="1:6" ht="42" collapsed="1" thickBot="1" x14ac:dyDescent="0.35">
      <c r="A189" s="143"/>
      <c r="B189" s="104" t="str">
        <f>CONCATENATE("Viso (",B167,")")</f>
        <v>Viso (Paskirstymo linijų kamerų įranga ir nuotekų linijos nuo kamerų iki 2 pirminio nusodintuvo ir nuo 2 pirminio nusodintuvo iki bioreaktorių)</v>
      </c>
      <c r="C189" s="105"/>
      <c r="D189" s="106"/>
      <c r="E189" s="111"/>
      <c r="F189" s="94">
        <f>F168+F172+F176+F181+F186</f>
        <v>410721.58999999997</v>
      </c>
    </row>
    <row r="190" spans="1:6" ht="41.4" x14ac:dyDescent="0.3">
      <c r="A190" s="147" t="s">
        <v>267</v>
      </c>
      <c r="B190" s="92" t="s">
        <v>268</v>
      </c>
      <c r="C190" s="92"/>
      <c r="D190" s="110"/>
      <c r="E190" s="102"/>
      <c r="F190" s="115"/>
    </row>
    <row r="191" spans="1:6" x14ac:dyDescent="0.3">
      <c r="A191" s="144" t="s">
        <v>269</v>
      </c>
      <c r="B191" s="18" t="s">
        <v>72</v>
      </c>
      <c r="C191" s="18" t="s">
        <v>18</v>
      </c>
      <c r="D191" s="86">
        <v>1</v>
      </c>
      <c r="E191" s="78">
        <f>SUM(F192:F194)</f>
        <v>38125.270000000004</v>
      </c>
      <c r="F191" s="79">
        <f t="shared" ref="F191:F211" si="21">ROUND(D191*E191,2)</f>
        <v>38125.269999999997</v>
      </c>
    </row>
    <row r="192" spans="1:6" x14ac:dyDescent="0.3">
      <c r="A192" s="145" t="s">
        <v>270</v>
      </c>
      <c r="B192" s="11" t="s">
        <v>74</v>
      </c>
      <c r="C192" s="44" t="s">
        <v>18</v>
      </c>
      <c r="D192" s="80">
        <v>1</v>
      </c>
      <c r="E192" s="126">
        <f>4367.85*$E$401</f>
        <v>5023.0275000000001</v>
      </c>
      <c r="F192" s="81">
        <f t="shared" si="21"/>
        <v>5023.03</v>
      </c>
    </row>
    <row r="193" spans="1:6" x14ac:dyDescent="0.3">
      <c r="A193" s="145" t="s">
        <v>271</v>
      </c>
      <c r="B193" s="16" t="s">
        <v>219</v>
      </c>
      <c r="C193" s="44" t="s">
        <v>18</v>
      </c>
      <c r="D193" s="80">
        <v>1</v>
      </c>
      <c r="E193" s="126">
        <f>8473.05*$E$401</f>
        <v>9744.0074999999979</v>
      </c>
      <c r="F193" s="81">
        <f t="shared" si="21"/>
        <v>9744.01</v>
      </c>
    </row>
    <row r="194" spans="1:6" x14ac:dyDescent="0.3">
      <c r="A194" s="145" t="s">
        <v>272</v>
      </c>
      <c r="B194" s="16" t="s">
        <v>221</v>
      </c>
      <c r="C194" s="44" t="s">
        <v>18</v>
      </c>
      <c r="D194" s="80">
        <v>1</v>
      </c>
      <c r="E194" s="126">
        <f>20311.5*$E$401</f>
        <v>23358.224999999999</v>
      </c>
      <c r="F194" s="81">
        <f t="shared" si="21"/>
        <v>23358.23</v>
      </c>
    </row>
    <row r="195" spans="1:6" collapsed="1" x14ac:dyDescent="0.3">
      <c r="A195" s="144" t="s">
        <v>273</v>
      </c>
      <c r="B195" s="18" t="s">
        <v>84</v>
      </c>
      <c r="C195" s="18" t="s">
        <v>18</v>
      </c>
      <c r="D195" s="86">
        <v>1</v>
      </c>
      <c r="E195" s="78">
        <f>SUM(F196:F198)</f>
        <v>187985.81</v>
      </c>
      <c r="F195" s="79">
        <f t="shared" si="21"/>
        <v>187985.81</v>
      </c>
    </row>
    <row r="196" spans="1:6" x14ac:dyDescent="0.3">
      <c r="A196" s="145" t="s">
        <v>274</v>
      </c>
      <c r="B196" s="13" t="s">
        <v>224</v>
      </c>
      <c r="C196" s="44" t="s">
        <v>18</v>
      </c>
      <c r="D196" s="80">
        <v>1</v>
      </c>
      <c r="E196" s="127">
        <f>128270.08+32067.52*$E$401</f>
        <v>165147.728</v>
      </c>
      <c r="F196" s="81">
        <f t="shared" si="21"/>
        <v>165147.73000000001</v>
      </c>
    </row>
    <row r="197" spans="1:6" x14ac:dyDescent="0.3">
      <c r="A197" s="145" t="s">
        <v>275</v>
      </c>
      <c r="B197" s="13" t="s">
        <v>226</v>
      </c>
      <c r="C197" s="44" t="s">
        <v>18</v>
      </c>
      <c r="D197" s="80">
        <v>1</v>
      </c>
      <c r="E197" s="127">
        <f>15859.2*$E$401</f>
        <v>18238.079999999998</v>
      </c>
      <c r="F197" s="81">
        <f t="shared" si="21"/>
        <v>18238.080000000002</v>
      </c>
    </row>
    <row r="198" spans="1:6" x14ac:dyDescent="0.3">
      <c r="A198" s="145" t="s">
        <v>276</v>
      </c>
      <c r="B198" s="13" t="s">
        <v>93</v>
      </c>
      <c r="C198" s="44" t="s">
        <v>18</v>
      </c>
      <c r="D198" s="80">
        <v>1</v>
      </c>
      <c r="E198" s="127">
        <f>4000*$E$401</f>
        <v>4600</v>
      </c>
      <c r="F198" s="81">
        <f t="shared" si="21"/>
        <v>4600</v>
      </c>
    </row>
    <row r="199" spans="1:6" collapsed="1" x14ac:dyDescent="0.3">
      <c r="A199" s="144" t="s">
        <v>277</v>
      </c>
      <c r="B199" s="18" t="s">
        <v>136</v>
      </c>
      <c r="C199" s="18" t="s">
        <v>18</v>
      </c>
      <c r="D199" s="86">
        <v>1</v>
      </c>
      <c r="E199" s="78">
        <f>SUM(F200:F203)</f>
        <v>11500</v>
      </c>
      <c r="F199" s="79">
        <f t="shared" si="21"/>
        <v>11500</v>
      </c>
    </row>
    <row r="200" spans="1:6" x14ac:dyDescent="0.3">
      <c r="A200" s="145" t="s">
        <v>278</v>
      </c>
      <c r="B200" s="43" t="s">
        <v>97</v>
      </c>
      <c r="C200" s="44" t="s">
        <v>18</v>
      </c>
      <c r="D200" s="80">
        <v>1</v>
      </c>
      <c r="E200" s="108">
        <f>5500*$E$401</f>
        <v>6324.9999999999991</v>
      </c>
      <c r="F200" s="81">
        <f t="shared" si="21"/>
        <v>6325</v>
      </c>
    </row>
    <row r="201" spans="1:6" x14ac:dyDescent="0.3">
      <c r="A201" s="145" t="s">
        <v>279</v>
      </c>
      <c r="B201" s="43" t="s">
        <v>100</v>
      </c>
      <c r="C201" s="44" t="s">
        <v>18</v>
      </c>
      <c r="D201" s="80">
        <v>1</v>
      </c>
      <c r="E201" s="108">
        <f>3000*$E$401</f>
        <v>3449.9999999999995</v>
      </c>
      <c r="F201" s="81">
        <f t="shared" si="21"/>
        <v>3450</v>
      </c>
    </row>
    <row r="202" spans="1:6" x14ac:dyDescent="0.3">
      <c r="A202" s="145" t="s">
        <v>280</v>
      </c>
      <c r="B202" s="43" t="s">
        <v>102</v>
      </c>
      <c r="C202" s="44" t="s">
        <v>18</v>
      </c>
      <c r="D202" s="80">
        <v>1</v>
      </c>
      <c r="E202" s="108">
        <f>1000*$E$401</f>
        <v>1150</v>
      </c>
      <c r="F202" s="81">
        <f t="shared" si="21"/>
        <v>1150</v>
      </c>
    </row>
    <row r="203" spans="1:6" x14ac:dyDescent="0.3">
      <c r="A203" s="145" t="s">
        <v>281</v>
      </c>
      <c r="B203" s="43" t="s">
        <v>104</v>
      </c>
      <c r="C203" s="44" t="s">
        <v>18</v>
      </c>
      <c r="D203" s="80">
        <v>1</v>
      </c>
      <c r="E203" s="108">
        <f>500*$E$401</f>
        <v>575</v>
      </c>
      <c r="F203" s="81">
        <f t="shared" si="21"/>
        <v>575</v>
      </c>
    </row>
    <row r="204" spans="1:6" collapsed="1" x14ac:dyDescent="0.3">
      <c r="A204" s="144" t="s">
        <v>282</v>
      </c>
      <c r="B204" s="18" t="s">
        <v>108</v>
      </c>
      <c r="C204" s="18" t="s">
        <v>18</v>
      </c>
      <c r="D204" s="86">
        <v>1</v>
      </c>
      <c r="E204" s="78">
        <f>SUM(F205:F208)</f>
        <v>8625</v>
      </c>
      <c r="F204" s="79">
        <f t="shared" si="21"/>
        <v>8625</v>
      </c>
    </row>
    <row r="205" spans="1:6" x14ac:dyDescent="0.3">
      <c r="A205" s="145" t="s">
        <v>283</v>
      </c>
      <c r="B205" s="5" t="s">
        <v>110</v>
      </c>
      <c r="C205" s="6" t="s">
        <v>18</v>
      </c>
      <c r="D205" s="80">
        <v>1</v>
      </c>
      <c r="E205" s="89">
        <f>1000*$E$401</f>
        <v>1150</v>
      </c>
      <c r="F205" s="81">
        <f t="shared" si="21"/>
        <v>1150</v>
      </c>
    </row>
    <row r="206" spans="1:6" x14ac:dyDescent="0.3">
      <c r="A206" s="145" t="s">
        <v>284</v>
      </c>
      <c r="B206" s="5" t="s">
        <v>112</v>
      </c>
      <c r="C206" s="6" t="s">
        <v>18</v>
      </c>
      <c r="D206" s="80">
        <v>1</v>
      </c>
      <c r="E206" s="89">
        <f>1000*$E$401</f>
        <v>1150</v>
      </c>
      <c r="F206" s="81">
        <f t="shared" si="21"/>
        <v>1150</v>
      </c>
    </row>
    <row r="207" spans="1:6" x14ac:dyDescent="0.3">
      <c r="A207" s="145" t="s">
        <v>285</v>
      </c>
      <c r="B207" s="5" t="s">
        <v>114</v>
      </c>
      <c r="C207" s="6" t="s">
        <v>18</v>
      </c>
      <c r="D207" s="80">
        <v>1</v>
      </c>
      <c r="E207" s="89">
        <f>500*$E$401</f>
        <v>575</v>
      </c>
      <c r="F207" s="81">
        <f t="shared" si="21"/>
        <v>575</v>
      </c>
    </row>
    <row r="208" spans="1:6" x14ac:dyDescent="0.3">
      <c r="A208" s="145" t="s">
        <v>286</v>
      </c>
      <c r="B208" s="5" t="s">
        <v>118</v>
      </c>
      <c r="C208" s="6" t="s">
        <v>18</v>
      </c>
      <c r="D208" s="80">
        <v>1</v>
      </c>
      <c r="E208" s="89">
        <f>5000*$E$401</f>
        <v>5750</v>
      </c>
      <c r="F208" s="81">
        <f t="shared" si="21"/>
        <v>5750</v>
      </c>
    </row>
    <row r="209" spans="1:6" collapsed="1" x14ac:dyDescent="0.3">
      <c r="A209" s="144" t="s">
        <v>287</v>
      </c>
      <c r="B209" s="18" t="s">
        <v>239</v>
      </c>
      <c r="C209" s="18" t="s">
        <v>18</v>
      </c>
      <c r="D209" s="86">
        <v>1</v>
      </c>
      <c r="E209" s="78">
        <f>SUM(F210:F211)</f>
        <v>143520</v>
      </c>
      <c r="F209" s="79">
        <f t="shared" si="21"/>
        <v>143520</v>
      </c>
    </row>
    <row r="210" spans="1:6" x14ac:dyDescent="0.3">
      <c r="A210" s="146" t="s">
        <v>288</v>
      </c>
      <c r="B210" s="13" t="s">
        <v>241</v>
      </c>
      <c r="C210" s="6" t="s">
        <v>18</v>
      </c>
      <c r="D210" s="80">
        <v>1</v>
      </c>
      <c r="E210" s="127">
        <f>120000*$E$401</f>
        <v>138000</v>
      </c>
      <c r="F210" s="81">
        <f t="shared" si="21"/>
        <v>138000</v>
      </c>
    </row>
    <row r="211" spans="1:6" ht="15" thickBot="1" x14ac:dyDescent="0.35">
      <c r="A211" s="146" t="s">
        <v>289</v>
      </c>
      <c r="B211" s="13" t="s">
        <v>243</v>
      </c>
      <c r="C211" s="6" t="s">
        <v>18</v>
      </c>
      <c r="D211" s="80">
        <v>1</v>
      </c>
      <c r="E211" s="127">
        <f>4800*$E$401</f>
        <v>5520</v>
      </c>
      <c r="F211" s="93">
        <f t="shared" si="21"/>
        <v>5520</v>
      </c>
    </row>
    <row r="212" spans="1:6" ht="42" collapsed="1" thickBot="1" x14ac:dyDescent="0.35">
      <c r="A212" s="143"/>
      <c r="B212" s="104" t="str">
        <f>CONCATENATE("Viso (",B190,")")</f>
        <v>Viso (Paskirstymo linijų kamerų įranga ir nuotekų linijos nuo kamerų iki 3 pirminio nusodintuvo ir nuo 3 pirminio nusodintuvo iki bioreaktorių)</v>
      </c>
      <c r="C212" s="105"/>
      <c r="D212" s="106"/>
      <c r="E212" s="111"/>
      <c r="F212" s="94">
        <f>F191+F195+F199+F204+F209</f>
        <v>389756.07999999996</v>
      </c>
    </row>
    <row r="213" spans="1:6" x14ac:dyDescent="0.3">
      <c r="A213" s="142" t="s">
        <v>290</v>
      </c>
      <c r="B213" s="92" t="s">
        <v>291</v>
      </c>
      <c r="C213" s="92"/>
      <c r="D213" s="101"/>
      <c r="E213" s="102"/>
      <c r="F213" s="115"/>
    </row>
    <row r="214" spans="1:6" x14ac:dyDescent="0.3">
      <c r="A214" s="144" t="s">
        <v>292</v>
      </c>
      <c r="B214" s="18" t="s">
        <v>72</v>
      </c>
      <c r="C214" s="18" t="s">
        <v>18</v>
      </c>
      <c r="D214" s="86">
        <v>1</v>
      </c>
      <c r="E214" s="78">
        <f>SUM(F215:F219)</f>
        <v>1048671.45</v>
      </c>
      <c r="F214" s="79">
        <f t="shared" ref="F214:F250" si="22">ROUND(D214*E214,2)</f>
        <v>1048671.45</v>
      </c>
    </row>
    <row r="215" spans="1:6" s="17" customFormat="1" ht="27.6" x14ac:dyDescent="0.25">
      <c r="A215" s="148" t="s">
        <v>293</v>
      </c>
      <c r="B215" s="58" t="s">
        <v>294</v>
      </c>
      <c r="C215" s="6" t="s">
        <v>18</v>
      </c>
      <c r="D215" s="80">
        <v>1</v>
      </c>
      <c r="E215" s="88">
        <f>200333*$E$401</f>
        <v>230382.94999999998</v>
      </c>
      <c r="F215" s="81">
        <f t="shared" si="22"/>
        <v>230382.95</v>
      </c>
    </row>
    <row r="216" spans="1:6" s="17" customFormat="1" ht="30" customHeight="1" x14ac:dyDescent="0.3">
      <c r="A216" s="148" t="s">
        <v>295</v>
      </c>
      <c r="B216" s="59" t="s">
        <v>296</v>
      </c>
      <c r="C216" s="6" t="s">
        <v>18</v>
      </c>
      <c r="D216" s="80">
        <v>1</v>
      </c>
      <c r="E216" s="88">
        <f>337321.8*$E$401</f>
        <v>387920.06999999995</v>
      </c>
      <c r="F216" s="81">
        <f t="shared" si="22"/>
        <v>387920.07</v>
      </c>
    </row>
    <row r="217" spans="1:6" s="17" customFormat="1" ht="13.8" x14ac:dyDescent="0.25">
      <c r="A217" s="148" t="s">
        <v>297</v>
      </c>
      <c r="B217" s="58" t="s">
        <v>298</v>
      </c>
      <c r="C217" s="6" t="s">
        <v>18</v>
      </c>
      <c r="D217" s="80">
        <v>1</v>
      </c>
      <c r="E217" s="88">
        <f>142766*$E$401</f>
        <v>164180.9</v>
      </c>
      <c r="F217" s="81">
        <f t="shared" si="22"/>
        <v>164180.9</v>
      </c>
    </row>
    <row r="218" spans="1:6" s="17" customFormat="1" ht="30.6" customHeight="1" x14ac:dyDescent="0.3">
      <c r="A218" s="148" t="s">
        <v>299</v>
      </c>
      <c r="B218" s="60" t="s">
        <v>300</v>
      </c>
      <c r="C218" s="6" t="s">
        <v>18</v>
      </c>
      <c r="D218" s="80">
        <v>1</v>
      </c>
      <c r="E218" s="88">
        <f>171254.4*$E$401</f>
        <v>196942.55999999997</v>
      </c>
      <c r="F218" s="81">
        <f t="shared" si="22"/>
        <v>196942.56</v>
      </c>
    </row>
    <row r="219" spans="1:6" s="17" customFormat="1" ht="13.8" x14ac:dyDescent="0.3">
      <c r="A219" s="148" t="s">
        <v>301</v>
      </c>
      <c r="B219" s="60" t="s">
        <v>302</v>
      </c>
      <c r="C219" s="6" t="s">
        <v>18</v>
      </c>
      <c r="D219" s="80">
        <v>1</v>
      </c>
      <c r="E219" s="88">
        <f>60213.02*$E$401</f>
        <v>69244.972999999998</v>
      </c>
      <c r="F219" s="81">
        <f t="shared" si="22"/>
        <v>69244.97</v>
      </c>
    </row>
    <row r="220" spans="1:6" collapsed="1" x14ac:dyDescent="0.3">
      <c r="A220" s="144" t="s">
        <v>303</v>
      </c>
      <c r="B220" s="18" t="s">
        <v>84</v>
      </c>
      <c r="C220" s="18" t="s">
        <v>18</v>
      </c>
      <c r="D220" s="86">
        <v>1</v>
      </c>
      <c r="E220" s="78">
        <f>SUM(F221:F225)</f>
        <v>2922807.92</v>
      </c>
      <c r="F220" s="79">
        <f t="shared" si="22"/>
        <v>2922807.92</v>
      </c>
    </row>
    <row r="221" spans="1:6" x14ac:dyDescent="0.3">
      <c r="A221" s="145" t="s">
        <v>304</v>
      </c>
      <c r="B221" s="13" t="s">
        <v>305</v>
      </c>
      <c r="C221" s="6" t="s">
        <v>18</v>
      </c>
      <c r="D221" s="80">
        <v>1</v>
      </c>
      <c r="E221" s="125">
        <f>2056373.44*$E$401</f>
        <v>2364829.4559999998</v>
      </c>
      <c r="F221" s="81">
        <f t="shared" si="22"/>
        <v>2364829.46</v>
      </c>
    </row>
    <row r="222" spans="1:6" x14ac:dyDescent="0.3">
      <c r="A222" s="145" t="s">
        <v>306</v>
      </c>
      <c r="B222" s="13" t="s">
        <v>307</v>
      </c>
      <c r="C222" s="6" t="s">
        <v>18</v>
      </c>
      <c r="D222" s="80">
        <v>1</v>
      </c>
      <c r="E222" s="125">
        <f>256795*$E$401</f>
        <v>295314.25</v>
      </c>
      <c r="F222" s="81">
        <f t="shared" si="22"/>
        <v>295314.25</v>
      </c>
    </row>
    <row r="223" spans="1:6" x14ac:dyDescent="0.3">
      <c r="A223" s="145" t="s">
        <v>308</v>
      </c>
      <c r="B223" s="13" t="s">
        <v>309</v>
      </c>
      <c r="C223" s="6" t="s">
        <v>18</v>
      </c>
      <c r="D223" s="80">
        <v>1</v>
      </c>
      <c r="E223" s="125">
        <f>124380*$E$401</f>
        <v>143037</v>
      </c>
      <c r="F223" s="81">
        <f t="shared" si="22"/>
        <v>143037</v>
      </c>
    </row>
    <row r="224" spans="1:6" x14ac:dyDescent="0.3">
      <c r="A224" s="145" t="s">
        <v>310</v>
      </c>
      <c r="B224" s="13" t="s">
        <v>311</v>
      </c>
      <c r="C224" s="6" t="s">
        <v>18</v>
      </c>
      <c r="D224" s="80">
        <v>1</v>
      </c>
      <c r="E224" s="125">
        <f>48023.66*$E$401</f>
        <v>55227.209000000003</v>
      </c>
      <c r="F224" s="81">
        <f t="shared" si="22"/>
        <v>55227.21</v>
      </c>
    </row>
    <row r="225" spans="1:6" x14ac:dyDescent="0.3">
      <c r="A225" s="145" t="s">
        <v>312</v>
      </c>
      <c r="B225" s="13" t="s">
        <v>313</v>
      </c>
      <c r="C225" s="6" t="s">
        <v>18</v>
      </c>
      <c r="D225" s="80">
        <v>1</v>
      </c>
      <c r="E225" s="125">
        <f>56000*$E$401</f>
        <v>64399.999999999993</v>
      </c>
      <c r="F225" s="81">
        <f t="shared" si="22"/>
        <v>64400</v>
      </c>
    </row>
    <row r="226" spans="1:6" collapsed="1" x14ac:dyDescent="0.3">
      <c r="A226" s="144" t="s">
        <v>314</v>
      </c>
      <c r="B226" s="18" t="s">
        <v>136</v>
      </c>
      <c r="C226" s="18" t="s">
        <v>18</v>
      </c>
      <c r="D226" s="86">
        <v>1</v>
      </c>
      <c r="E226" s="78">
        <f>SUM(F227:F231)</f>
        <v>86250</v>
      </c>
      <c r="F226" s="79">
        <f t="shared" si="22"/>
        <v>86250</v>
      </c>
    </row>
    <row r="227" spans="1:6" x14ac:dyDescent="0.3">
      <c r="A227" s="145" t="s">
        <v>315</v>
      </c>
      <c r="B227" s="43" t="s">
        <v>97</v>
      </c>
      <c r="C227" s="44" t="s">
        <v>18</v>
      </c>
      <c r="D227" s="80">
        <v>1</v>
      </c>
      <c r="E227" s="87">
        <f>37000*$E$401</f>
        <v>42550</v>
      </c>
      <c r="F227" s="81">
        <f t="shared" si="22"/>
        <v>42550</v>
      </c>
    </row>
    <row r="228" spans="1:6" x14ac:dyDescent="0.3">
      <c r="A228" s="145" t="s">
        <v>316</v>
      </c>
      <c r="B228" s="57" t="s">
        <v>100</v>
      </c>
      <c r="C228" s="44" t="s">
        <v>18</v>
      </c>
      <c r="D228" s="80">
        <v>1</v>
      </c>
      <c r="E228" s="87">
        <f>10500*$E$401</f>
        <v>12074.999999999998</v>
      </c>
      <c r="F228" s="81">
        <f t="shared" si="22"/>
        <v>12075</v>
      </c>
    </row>
    <row r="229" spans="1:6" x14ac:dyDescent="0.3">
      <c r="A229" s="145" t="s">
        <v>317</v>
      </c>
      <c r="B229" s="57" t="s">
        <v>102</v>
      </c>
      <c r="C229" s="44" t="s">
        <v>18</v>
      </c>
      <c r="D229" s="80">
        <v>1</v>
      </c>
      <c r="E229" s="87">
        <f>7000*$E$401</f>
        <v>8049.9999999999991</v>
      </c>
      <c r="F229" s="81">
        <f t="shared" si="22"/>
        <v>8050</v>
      </c>
    </row>
    <row r="230" spans="1:6" x14ac:dyDescent="0.3">
      <c r="A230" s="145" t="s">
        <v>318</v>
      </c>
      <c r="B230" s="57" t="s">
        <v>104</v>
      </c>
      <c r="C230" s="44" t="s">
        <v>18</v>
      </c>
      <c r="D230" s="80">
        <v>1</v>
      </c>
      <c r="E230" s="87">
        <f>4500*$E$401</f>
        <v>5175</v>
      </c>
      <c r="F230" s="81">
        <f t="shared" si="22"/>
        <v>5175</v>
      </c>
    </row>
    <row r="231" spans="1:6" x14ac:dyDescent="0.3">
      <c r="A231" s="145" t="s">
        <v>319</v>
      </c>
      <c r="B231" s="57" t="s">
        <v>205</v>
      </c>
      <c r="C231" s="44" t="s">
        <v>18</v>
      </c>
      <c r="D231" s="80">
        <v>1</v>
      </c>
      <c r="E231" s="87">
        <f>16000*$E$401</f>
        <v>18400</v>
      </c>
      <c r="F231" s="81">
        <f t="shared" si="22"/>
        <v>18400</v>
      </c>
    </row>
    <row r="232" spans="1:6" collapsed="1" x14ac:dyDescent="0.3">
      <c r="A232" s="144" t="s">
        <v>320</v>
      </c>
      <c r="B232" s="18" t="s">
        <v>321</v>
      </c>
      <c r="C232" s="18" t="s">
        <v>18</v>
      </c>
      <c r="D232" s="86">
        <v>1</v>
      </c>
      <c r="E232" s="78">
        <f>SUM(F233:F234)</f>
        <v>33752.5</v>
      </c>
      <c r="F232" s="79">
        <f t="shared" si="22"/>
        <v>33752.5</v>
      </c>
    </row>
    <row r="233" spans="1:6" x14ac:dyDescent="0.3">
      <c r="A233" s="145" t="s">
        <v>322</v>
      </c>
      <c r="B233" s="5" t="s">
        <v>323</v>
      </c>
      <c r="C233" s="6" t="s">
        <v>18</v>
      </c>
      <c r="D233" s="80">
        <v>1</v>
      </c>
      <c r="E233" s="89">
        <f>7800*$E$401</f>
        <v>8970</v>
      </c>
      <c r="F233" s="81">
        <f t="shared" si="22"/>
        <v>8970</v>
      </c>
    </row>
    <row r="234" spans="1:6" ht="21.6" customHeight="1" x14ac:dyDescent="0.3">
      <c r="A234" s="145" t="s">
        <v>324</v>
      </c>
      <c r="B234" s="61" t="s">
        <v>325</v>
      </c>
      <c r="C234" s="6" t="s">
        <v>18</v>
      </c>
      <c r="D234" s="80">
        <v>1</v>
      </c>
      <c r="E234" s="87">
        <f>21550*$E$401</f>
        <v>24782.499999999996</v>
      </c>
      <c r="F234" s="81">
        <f t="shared" si="22"/>
        <v>24782.5</v>
      </c>
    </row>
    <row r="235" spans="1:6" collapsed="1" x14ac:dyDescent="0.3">
      <c r="A235" s="144" t="s">
        <v>326</v>
      </c>
      <c r="B235" s="18" t="s">
        <v>108</v>
      </c>
      <c r="C235" s="18" t="s">
        <v>18</v>
      </c>
      <c r="D235" s="86">
        <v>1</v>
      </c>
      <c r="E235" s="78">
        <f>SUM(F236:F240)</f>
        <v>138000</v>
      </c>
      <c r="F235" s="79">
        <f t="shared" si="22"/>
        <v>138000</v>
      </c>
    </row>
    <row r="236" spans="1:6" x14ac:dyDescent="0.3">
      <c r="A236" s="145" t="s">
        <v>327</v>
      </c>
      <c r="B236" s="5" t="s">
        <v>110</v>
      </c>
      <c r="C236" s="6" t="s">
        <v>18</v>
      </c>
      <c r="D236" s="80">
        <v>1</v>
      </c>
      <c r="E236" s="87">
        <f>10000*$E$401</f>
        <v>11500</v>
      </c>
      <c r="F236" s="81">
        <f t="shared" si="22"/>
        <v>11500</v>
      </c>
    </row>
    <row r="237" spans="1:6" x14ac:dyDescent="0.3">
      <c r="A237" s="145" t="s">
        <v>328</v>
      </c>
      <c r="B237" s="5" t="s">
        <v>112</v>
      </c>
      <c r="C237" s="6" t="s">
        <v>18</v>
      </c>
      <c r="D237" s="80">
        <v>1</v>
      </c>
      <c r="E237" s="87">
        <f>20000*$E$401</f>
        <v>23000</v>
      </c>
      <c r="F237" s="81">
        <f t="shared" si="22"/>
        <v>23000</v>
      </c>
    </row>
    <row r="238" spans="1:6" x14ac:dyDescent="0.3">
      <c r="A238" s="145" t="s">
        <v>329</v>
      </c>
      <c r="B238" s="5" t="s">
        <v>114</v>
      </c>
      <c r="C238" s="6" t="s">
        <v>18</v>
      </c>
      <c r="D238" s="80">
        <v>1</v>
      </c>
      <c r="E238" s="87">
        <f>32000*$E$401</f>
        <v>36800</v>
      </c>
      <c r="F238" s="81">
        <f t="shared" si="22"/>
        <v>36800</v>
      </c>
    </row>
    <row r="239" spans="1:6" x14ac:dyDescent="0.3">
      <c r="A239" s="145" t="s">
        <v>330</v>
      </c>
      <c r="B239" s="5" t="s">
        <v>116</v>
      </c>
      <c r="C239" s="6" t="s">
        <v>18</v>
      </c>
      <c r="D239" s="80">
        <v>1</v>
      </c>
      <c r="E239" s="87">
        <f>3000*$E$401</f>
        <v>3449.9999999999995</v>
      </c>
      <c r="F239" s="81">
        <f t="shared" si="22"/>
        <v>3450</v>
      </c>
    </row>
    <row r="240" spans="1:6" x14ac:dyDescent="0.3">
      <c r="A240" s="145" t="s">
        <v>331</v>
      </c>
      <c r="B240" s="5" t="s">
        <v>118</v>
      </c>
      <c r="C240" s="6" t="s">
        <v>18</v>
      </c>
      <c r="D240" s="80">
        <v>1</v>
      </c>
      <c r="E240" s="89">
        <f>55000*$E$401</f>
        <v>63249.999999999993</v>
      </c>
      <c r="F240" s="81">
        <f t="shared" si="22"/>
        <v>63250</v>
      </c>
    </row>
    <row r="241" spans="1:6" collapsed="1" x14ac:dyDescent="0.3">
      <c r="A241" s="144" t="s">
        <v>332</v>
      </c>
      <c r="B241" s="18" t="s">
        <v>470</v>
      </c>
      <c r="C241" s="18" t="s">
        <v>18</v>
      </c>
      <c r="D241" s="86">
        <v>1</v>
      </c>
      <c r="E241" s="78">
        <f>SUM(F242:F244)</f>
        <v>38217.380000000005</v>
      </c>
      <c r="F241" s="79">
        <f>ROUND(D241*E241,2)</f>
        <v>38217.379999999997</v>
      </c>
    </row>
    <row r="242" spans="1:6" x14ac:dyDescent="0.3">
      <c r="A242" s="145" t="s">
        <v>333</v>
      </c>
      <c r="B242" s="165" t="s">
        <v>334</v>
      </c>
      <c r="C242" s="6" t="s">
        <v>18</v>
      </c>
      <c r="D242" s="80">
        <v>1</v>
      </c>
      <c r="E242" s="87">
        <f>5500*$E$401</f>
        <v>6324.9999999999991</v>
      </c>
      <c r="F242" s="81">
        <f t="shared" si="22"/>
        <v>6325</v>
      </c>
    </row>
    <row r="243" spans="1:6" x14ac:dyDescent="0.3">
      <c r="A243" s="145" t="s">
        <v>335</v>
      </c>
      <c r="B243" s="165" t="s">
        <v>336</v>
      </c>
      <c r="C243" s="6" t="s">
        <v>18</v>
      </c>
      <c r="D243" s="80">
        <v>1</v>
      </c>
      <c r="E243" s="87">
        <f>10000*$E$401</f>
        <v>11500</v>
      </c>
      <c r="F243" s="81">
        <f t="shared" si="22"/>
        <v>11500</v>
      </c>
    </row>
    <row r="244" spans="1:6" x14ac:dyDescent="0.3">
      <c r="A244" s="145" t="s">
        <v>337</v>
      </c>
      <c r="B244" s="165" t="s">
        <v>338</v>
      </c>
      <c r="C244" s="6" t="s">
        <v>18</v>
      </c>
      <c r="D244" s="80">
        <v>1</v>
      </c>
      <c r="E244" s="87">
        <f>17732.5*$E$401</f>
        <v>20392.375</v>
      </c>
      <c r="F244" s="81">
        <f t="shared" si="22"/>
        <v>20392.38</v>
      </c>
    </row>
    <row r="245" spans="1:6" collapsed="1" x14ac:dyDescent="0.3">
      <c r="A245" s="144" t="s">
        <v>339</v>
      </c>
      <c r="B245" s="18" t="s">
        <v>239</v>
      </c>
      <c r="C245" s="18" t="s">
        <v>18</v>
      </c>
      <c r="D245" s="86">
        <v>1</v>
      </c>
      <c r="E245" s="78">
        <f>7719.18*$E$401</f>
        <v>8877.0569999999989</v>
      </c>
      <c r="F245" s="79">
        <f t="shared" si="22"/>
        <v>8877.06</v>
      </c>
    </row>
    <row r="246" spans="1:6" x14ac:dyDescent="0.3">
      <c r="A246" s="144" t="s">
        <v>340</v>
      </c>
      <c r="B246" s="18" t="s">
        <v>341</v>
      </c>
      <c r="C246" s="18" t="s">
        <v>18</v>
      </c>
      <c r="D246" s="86">
        <v>1</v>
      </c>
      <c r="E246" s="78">
        <f>5417.43*$E$401</f>
        <v>6230.0445</v>
      </c>
      <c r="F246" s="79">
        <f t="shared" si="22"/>
        <v>6230.04</v>
      </c>
    </row>
    <row r="247" spans="1:6" x14ac:dyDescent="0.3">
      <c r="A247" s="144" t="s">
        <v>342</v>
      </c>
      <c r="B247" s="18" t="s">
        <v>343</v>
      </c>
      <c r="C247" s="18" t="s">
        <v>18</v>
      </c>
      <c r="D247" s="86">
        <v>1</v>
      </c>
      <c r="E247" s="78">
        <f>SUM(F248:F249)</f>
        <v>26691.5</v>
      </c>
      <c r="F247" s="79">
        <f t="shared" si="22"/>
        <v>26691.5</v>
      </c>
    </row>
    <row r="248" spans="1:6" x14ac:dyDescent="0.3">
      <c r="A248" s="145" t="s">
        <v>344</v>
      </c>
      <c r="B248" s="5" t="s">
        <v>345</v>
      </c>
      <c r="C248" s="6" t="s">
        <v>18</v>
      </c>
      <c r="D248" s="80">
        <v>1</v>
      </c>
      <c r="E248" s="87">
        <f>12660*$E$401</f>
        <v>14558.999999999998</v>
      </c>
      <c r="F248" s="81">
        <f t="shared" si="22"/>
        <v>14559</v>
      </c>
    </row>
    <row r="249" spans="1:6" x14ac:dyDescent="0.3">
      <c r="A249" s="145" t="s">
        <v>346</v>
      </c>
      <c r="B249" s="5" t="s">
        <v>347</v>
      </c>
      <c r="C249" s="6" t="s">
        <v>18</v>
      </c>
      <c r="D249" s="80">
        <v>1</v>
      </c>
      <c r="E249" s="87">
        <f>10550*$E$401</f>
        <v>12132.499999999998</v>
      </c>
      <c r="F249" s="81">
        <f t="shared" si="22"/>
        <v>12132.5</v>
      </c>
    </row>
    <row r="250" spans="1:6" ht="15" collapsed="1" thickBot="1" x14ac:dyDescent="0.35">
      <c r="A250" s="144" t="s">
        <v>348</v>
      </c>
      <c r="B250" s="18" t="s">
        <v>349</v>
      </c>
      <c r="C250" s="18" t="s">
        <v>18</v>
      </c>
      <c r="D250" s="86">
        <v>1</v>
      </c>
      <c r="E250" s="78">
        <f>26622.93*$E$401</f>
        <v>30616.369499999997</v>
      </c>
      <c r="F250" s="114">
        <f t="shared" si="22"/>
        <v>30616.37</v>
      </c>
    </row>
    <row r="251" spans="1:6" ht="23.25" customHeight="1" thickBot="1" x14ac:dyDescent="0.35">
      <c r="A251" s="143"/>
      <c r="B251" s="104" t="str">
        <f>CONCATENATE("Viso (",B213,")")</f>
        <v>Viso (Tretinis valymas)</v>
      </c>
      <c r="C251" s="105"/>
      <c r="D251" s="106"/>
      <c r="E251" s="111"/>
      <c r="F251" s="94">
        <f>F214+F220+F226+F232+F235+F241+F245+F246+F247+F250</f>
        <v>4340114.22</v>
      </c>
    </row>
    <row r="252" spans="1:6" x14ac:dyDescent="0.3">
      <c r="A252" s="142" t="s">
        <v>350</v>
      </c>
      <c r="B252" s="92" t="s">
        <v>351</v>
      </c>
      <c r="C252" s="92"/>
      <c r="D252" s="101"/>
      <c r="E252" s="102"/>
      <c r="F252" s="115"/>
    </row>
    <row r="253" spans="1:6" x14ac:dyDescent="0.3">
      <c r="A253" s="144" t="s">
        <v>352</v>
      </c>
      <c r="B253" s="18" t="s">
        <v>72</v>
      </c>
      <c r="C253" s="18" t="s">
        <v>18</v>
      </c>
      <c r="D253" s="86">
        <v>1</v>
      </c>
      <c r="E253" s="78">
        <f>SUM(F254:F258)</f>
        <v>291087.70999999996</v>
      </c>
      <c r="F253" s="79">
        <f t="shared" ref="F253:F279" si="23">ROUND(D253*E253,2)</f>
        <v>291087.71000000002</v>
      </c>
    </row>
    <row r="254" spans="1:6" x14ac:dyDescent="0.3">
      <c r="A254" s="146" t="s">
        <v>353</v>
      </c>
      <c r="B254" s="9" t="s">
        <v>74</v>
      </c>
      <c r="C254" s="6" t="s">
        <v>18</v>
      </c>
      <c r="D254" s="80">
        <v>1</v>
      </c>
      <c r="E254" s="126">
        <f>8955*$E$401</f>
        <v>10298.25</v>
      </c>
      <c r="F254" s="81">
        <f t="shared" si="23"/>
        <v>10298.25</v>
      </c>
    </row>
    <row r="255" spans="1:6" ht="16.2" customHeight="1" x14ac:dyDescent="0.3">
      <c r="A255" s="146" t="s">
        <v>354</v>
      </c>
      <c r="B255" s="11" t="s">
        <v>355</v>
      </c>
      <c r="C255" s="6" t="s">
        <v>18</v>
      </c>
      <c r="D255" s="80">
        <v>1</v>
      </c>
      <c r="E255" s="126">
        <f>5100*$E$401</f>
        <v>5865</v>
      </c>
      <c r="F255" s="81">
        <f t="shared" si="23"/>
        <v>5865</v>
      </c>
    </row>
    <row r="256" spans="1:6" ht="27.6" x14ac:dyDescent="0.3">
      <c r="A256" s="146" t="s">
        <v>356</v>
      </c>
      <c r="B256" s="11" t="s">
        <v>357</v>
      </c>
      <c r="C256" s="6" t="s">
        <v>18</v>
      </c>
      <c r="D256" s="80">
        <v>1</v>
      </c>
      <c r="E256" s="126">
        <f>52292*$E$401</f>
        <v>60135.799999999996</v>
      </c>
      <c r="F256" s="81">
        <f t="shared" si="23"/>
        <v>60135.8</v>
      </c>
    </row>
    <row r="257" spans="1:6" x14ac:dyDescent="0.3">
      <c r="A257" s="146" t="s">
        <v>358</v>
      </c>
      <c r="B257" s="11" t="s">
        <v>359</v>
      </c>
      <c r="C257" s="6" t="s">
        <v>18</v>
      </c>
      <c r="D257" s="80">
        <v>1</v>
      </c>
      <c r="E257" s="126">
        <f>135460*$E$401</f>
        <v>155779</v>
      </c>
      <c r="F257" s="81">
        <f t="shared" si="23"/>
        <v>155779</v>
      </c>
    </row>
    <row r="258" spans="1:6" x14ac:dyDescent="0.3">
      <c r="A258" s="146" t="s">
        <v>360</v>
      </c>
      <c r="B258" s="11" t="s">
        <v>361</v>
      </c>
      <c r="C258" s="6" t="s">
        <v>18</v>
      </c>
      <c r="D258" s="80">
        <v>1</v>
      </c>
      <c r="E258" s="126">
        <f>51312.75*$E$401</f>
        <v>59009.662499999999</v>
      </c>
      <c r="F258" s="81">
        <f t="shared" si="23"/>
        <v>59009.66</v>
      </c>
    </row>
    <row r="259" spans="1:6" collapsed="1" x14ac:dyDescent="0.3">
      <c r="A259" s="144" t="s">
        <v>362</v>
      </c>
      <c r="B259" s="18" t="s">
        <v>84</v>
      </c>
      <c r="C259" s="18" t="s">
        <v>18</v>
      </c>
      <c r="D259" s="86">
        <v>1</v>
      </c>
      <c r="E259" s="78">
        <f>SUM(F260:F262)</f>
        <v>45965.5</v>
      </c>
      <c r="F259" s="79">
        <f t="shared" si="23"/>
        <v>45965.5</v>
      </c>
    </row>
    <row r="260" spans="1:6" x14ac:dyDescent="0.3">
      <c r="A260" s="146" t="s">
        <v>363</v>
      </c>
      <c r="B260" s="13" t="s">
        <v>364</v>
      </c>
      <c r="C260" s="6" t="s">
        <v>18</v>
      </c>
      <c r="D260" s="80">
        <v>1</v>
      </c>
      <c r="E260" s="125">
        <f>23000*$E$401</f>
        <v>26449.999999999996</v>
      </c>
      <c r="F260" s="81">
        <f t="shared" si="23"/>
        <v>26450</v>
      </c>
    </row>
    <row r="261" spans="1:6" x14ac:dyDescent="0.3">
      <c r="A261" s="146" t="s">
        <v>365</v>
      </c>
      <c r="B261" s="64" t="s">
        <v>366</v>
      </c>
      <c r="C261" s="6" t="s">
        <v>18</v>
      </c>
      <c r="D261" s="80">
        <v>1</v>
      </c>
      <c r="E261" s="125">
        <f>6920*$E$401</f>
        <v>7957.9999999999991</v>
      </c>
      <c r="F261" s="81">
        <f t="shared" si="23"/>
        <v>7958</v>
      </c>
    </row>
    <row r="262" spans="1:6" x14ac:dyDescent="0.3">
      <c r="A262" s="146" t="s">
        <v>367</v>
      </c>
      <c r="B262" s="64" t="s">
        <v>313</v>
      </c>
      <c r="C262" s="6" t="s">
        <v>18</v>
      </c>
      <c r="D262" s="80">
        <v>1</v>
      </c>
      <c r="E262" s="125">
        <f>10050*$E$401</f>
        <v>11557.5</v>
      </c>
      <c r="F262" s="81">
        <f t="shared" si="23"/>
        <v>11557.5</v>
      </c>
    </row>
    <row r="263" spans="1:6" collapsed="1" x14ac:dyDescent="0.3">
      <c r="A263" s="144" t="s">
        <v>368</v>
      </c>
      <c r="B263" s="18" t="s">
        <v>136</v>
      </c>
      <c r="C263" s="18" t="s">
        <v>18</v>
      </c>
      <c r="D263" s="86">
        <v>1</v>
      </c>
      <c r="E263" s="78">
        <f>SUM(F264:F268)</f>
        <v>40250</v>
      </c>
      <c r="F263" s="79">
        <f t="shared" si="23"/>
        <v>40250</v>
      </c>
    </row>
    <row r="264" spans="1:6" x14ac:dyDescent="0.3">
      <c r="A264" s="146" t="s">
        <v>369</v>
      </c>
      <c r="B264" s="43" t="s">
        <v>97</v>
      </c>
      <c r="C264" s="44" t="s">
        <v>18</v>
      </c>
      <c r="D264" s="80">
        <v>1</v>
      </c>
      <c r="E264" s="108">
        <f>12000*$E$401</f>
        <v>13799.999999999998</v>
      </c>
      <c r="F264" s="81">
        <f t="shared" si="23"/>
        <v>13800</v>
      </c>
    </row>
    <row r="265" spans="1:6" x14ac:dyDescent="0.3">
      <c r="A265" s="146" t="s">
        <v>370</v>
      </c>
      <c r="B265" s="45" t="s">
        <v>100</v>
      </c>
      <c r="C265" s="44" t="s">
        <v>18</v>
      </c>
      <c r="D265" s="80">
        <v>1</v>
      </c>
      <c r="E265" s="87">
        <f>6500*$E$401</f>
        <v>7474.9999999999991</v>
      </c>
      <c r="F265" s="81">
        <f t="shared" si="23"/>
        <v>7475</v>
      </c>
    </row>
    <row r="266" spans="1:6" x14ac:dyDescent="0.3">
      <c r="A266" s="146" t="s">
        <v>371</v>
      </c>
      <c r="B266" s="57" t="s">
        <v>102</v>
      </c>
      <c r="C266" s="44" t="s">
        <v>18</v>
      </c>
      <c r="D266" s="80">
        <v>1</v>
      </c>
      <c r="E266" s="103">
        <f>5000*$E$401</f>
        <v>5750</v>
      </c>
      <c r="F266" s="81">
        <f t="shared" si="23"/>
        <v>5750</v>
      </c>
    </row>
    <row r="267" spans="1:6" x14ac:dyDescent="0.3">
      <c r="A267" s="146" t="s">
        <v>372</v>
      </c>
      <c r="B267" s="57" t="s">
        <v>104</v>
      </c>
      <c r="C267" s="44" t="s">
        <v>18</v>
      </c>
      <c r="D267" s="80">
        <v>1</v>
      </c>
      <c r="E267" s="87">
        <f>2500*$E$401</f>
        <v>2875</v>
      </c>
      <c r="F267" s="81">
        <f t="shared" si="23"/>
        <v>2875</v>
      </c>
    </row>
    <row r="268" spans="1:6" x14ac:dyDescent="0.3">
      <c r="A268" s="146" t="s">
        <v>373</v>
      </c>
      <c r="B268" s="57" t="s">
        <v>205</v>
      </c>
      <c r="C268" s="44" t="s">
        <v>18</v>
      </c>
      <c r="D268" s="80">
        <v>1</v>
      </c>
      <c r="E268" s="87">
        <f>9000*$E$401</f>
        <v>10350</v>
      </c>
      <c r="F268" s="81">
        <f t="shared" si="23"/>
        <v>10350</v>
      </c>
    </row>
    <row r="269" spans="1:6" collapsed="1" x14ac:dyDescent="0.3">
      <c r="A269" s="144" t="s">
        <v>374</v>
      </c>
      <c r="B269" s="18" t="s">
        <v>108</v>
      </c>
      <c r="C269" s="18" t="s">
        <v>18</v>
      </c>
      <c r="D269" s="86">
        <v>1</v>
      </c>
      <c r="E269" s="78">
        <f>SUM(F270:F274)</f>
        <v>41400</v>
      </c>
      <c r="F269" s="79">
        <f t="shared" si="23"/>
        <v>41400</v>
      </c>
    </row>
    <row r="270" spans="1:6" x14ac:dyDescent="0.3">
      <c r="A270" s="146" t="s">
        <v>375</v>
      </c>
      <c r="B270" s="12" t="s">
        <v>110</v>
      </c>
      <c r="C270" s="44" t="s">
        <v>18</v>
      </c>
      <c r="D270" s="80">
        <v>1</v>
      </c>
      <c r="E270" s="129">
        <f>5000*$E$401</f>
        <v>5750</v>
      </c>
      <c r="F270" s="81">
        <f t="shared" si="23"/>
        <v>5750</v>
      </c>
    </row>
    <row r="271" spans="1:6" x14ac:dyDescent="0.3">
      <c r="A271" s="146" t="s">
        <v>376</v>
      </c>
      <c r="B271" s="12" t="s">
        <v>112</v>
      </c>
      <c r="C271" s="44" t="s">
        <v>18</v>
      </c>
      <c r="D271" s="80">
        <v>1</v>
      </c>
      <c r="E271" s="129">
        <f>10000*$E$401</f>
        <v>11500</v>
      </c>
      <c r="F271" s="81">
        <f t="shared" si="23"/>
        <v>11500</v>
      </c>
    </row>
    <row r="272" spans="1:6" x14ac:dyDescent="0.3">
      <c r="A272" s="146" t="s">
        <v>377</v>
      </c>
      <c r="B272" s="12" t="s">
        <v>114</v>
      </c>
      <c r="C272" s="44" t="s">
        <v>18</v>
      </c>
      <c r="D272" s="80">
        <v>1</v>
      </c>
      <c r="E272" s="129">
        <f>6000*$E$401</f>
        <v>6899.9999999999991</v>
      </c>
      <c r="F272" s="81">
        <f t="shared" si="23"/>
        <v>6900</v>
      </c>
    </row>
    <row r="273" spans="1:6" x14ac:dyDescent="0.3">
      <c r="A273" s="146" t="s">
        <v>378</v>
      </c>
      <c r="B273" s="12" t="s">
        <v>116</v>
      </c>
      <c r="C273" s="44" t="s">
        <v>18</v>
      </c>
      <c r="D273" s="80">
        <v>1</v>
      </c>
      <c r="E273" s="129">
        <f>4000*$E$401</f>
        <v>4600</v>
      </c>
      <c r="F273" s="81">
        <f t="shared" si="23"/>
        <v>4600</v>
      </c>
    </row>
    <row r="274" spans="1:6" x14ac:dyDescent="0.3">
      <c r="A274" s="146" t="s">
        <v>379</v>
      </c>
      <c r="B274" s="19" t="s">
        <v>118</v>
      </c>
      <c r="C274" s="44" t="s">
        <v>18</v>
      </c>
      <c r="D274" s="80">
        <v>1</v>
      </c>
      <c r="E274" s="129">
        <f>11000*$E$401</f>
        <v>12649.999999999998</v>
      </c>
      <c r="F274" s="81">
        <f t="shared" si="23"/>
        <v>12650</v>
      </c>
    </row>
    <row r="275" spans="1:6" collapsed="1" x14ac:dyDescent="0.3">
      <c r="A275" s="144" t="s">
        <v>380</v>
      </c>
      <c r="B275" s="18" t="s">
        <v>349</v>
      </c>
      <c r="C275" s="18" t="s">
        <v>18</v>
      </c>
      <c r="D275" s="86">
        <v>1</v>
      </c>
      <c r="E275" s="78">
        <f>11605*$E$401</f>
        <v>13345.749999999998</v>
      </c>
      <c r="F275" s="79">
        <f t="shared" si="23"/>
        <v>13345.75</v>
      </c>
    </row>
    <row r="276" spans="1:6" x14ac:dyDescent="0.3">
      <c r="A276" s="144" t="s">
        <v>381</v>
      </c>
      <c r="B276" s="18" t="s">
        <v>321</v>
      </c>
      <c r="C276" s="18" t="s">
        <v>18</v>
      </c>
      <c r="D276" s="86">
        <v>1</v>
      </c>
      <c r="E276" s="78">
        <f>SUM(F277:F278)</f>
        <v>8115.55</v>
      </c>
      <c r="F276" s="79">
        <f t="shared" si="23"/>
        <v>8115.55</v>
      </c>
    </row>
    <row r="277" spans="1:6" x14ac:dyDescent="0.3">
      <c r="A277" s="146" t="s">
        <v>382</v>
      </c>
      <c r="B277" s="12" t="s">
        <v>323</v>
      </c>
      <c r="C277" s="44" t="s">
        <v>18</v>
      </c>
      <c r="D277" s="80">
        <v>1</v>
      </c>
      <c r="E277" s="129">
        <f>4707*$E$401</f>
        <v>5413.0499999999993</v>
      </c>
      <c r="F277" s="81">
        <f t="shared" si="23"/>
        <v>5413.05</v>
      </c>
    </row>
    <row r="278" spans="1:6" x14ac:dyDescent="0.3">
      <c r="A278" s="146" t="s">
        <v>383</v>
      </c>
      <c r="B278" s="12" t="s">
        <v>325</v>
      </c>
      <c r="C278" s="44" t="s">
        <v>18</v>
      </c>
      <c r="D278" s="80">
        <v>1</v>
      </c>
      <c r="E278" s="129">
        <f>2350*$E$401</f>
        <v>2702.5</v>
      </c>
      <c r="F278" s="81">
        <f t="shared" si="23"/>
        <v>2702.5</v>
      </c>
    </row>
    <row r="279" spans="1:6" ht="15" collapsed="1" thickBot="1" x14ac:dyDescent="0.35">
      <c r="A279" s="144" t="s">
        <v>384</v>
      </c>
      <c r="B279" s="18" t="s">
        <v>385</v>
      </c>
      <c r="C279" s="18" t="s">
        <v>18</v>
      </c>
      <c r="D279" s="86">
        <v>1</v>
      </c>
      <c r="E279" s="78">
        <f>9591*$E$401</f>
        <v>11029.65</v>
      </c>
      <c r="F279" s="114">
        <f t="shared" si="23"/>
        <v>11029.65</v>
      </c>
    </row>
    <row r="280" spans="1:6" ht="15" thickBot="1" x14ac:dyDescent="0.35">
      <c r="A280" s="143"/>
      <c r="B280" s="104" t="str">
        <f>CONCATENATE("Viso (",B252,")")</f>
        <v>Viso (Drenažo siurblinė)</v>
      </c>
      <c r="C280" s="105"/>
      <c r="D280" s="106"/>
      <c r="E280" s="111"/>
      <c r="F280" s="94">
        <f>F253+F259+F263+F269+F275+F276+F279</f>
        <v>451194.16000000003</v>
      </c>
    </row>
    <row r="281" spans="1:6" x14ac:dyDescent="0.3">
      <c r="A281" s="142" t="s">
        <v>386</v>
      </c>
      <c r="B281" s="92" t="s">
        <v>387</v>
      </c>
      <c r="C281" s="92"/>
      <c r="D281" s="101"/>
      <c r="E281" s="102"/>
      <c r="F281" s="115"/>
    </row>
    <row r="282" spans="1:6" x14ac:dyDescent="0.3">
      <c r="A282" s="144" t="s">
        <v>388</v>
      </c>
      <c r="B282" s="62" t="s">
        <v>72</v>
      </c>
      <c r="C282" s="18" t="s">
        <v>18</v>
      </c>
      <c r="D282" s="86">
        <v>1</v>
      </c>
      <c r="E282" s="78">
        <f>SUM(F283:F286)</f>
        <v>17366.72</v>
      </c>
      <c r="F282" s="79">
        <f>ROUND(D282*E282,2)</f>
        <v>17366.72</v>
      </c>
    </row>
    <row r="283" spans="1:6" ht="19.95" customHeight="1" x14ac:dyDescent="0.3">
      <c r="A283" s="149" t="s">
        <v>389</v>
      </c>
      <c r="B283" s="51" t="s">
        <v>390</v>
      </c>
      <c r="C283" s="116" t="s">
        <v>18</v>
      </c>
      <c r="D283" s="80">
        <v>1</v>
      </c>
      <c r="E283" s="125">
        <v>0</v>
      </c>
      <c r="F283" s="81">
        <f t="shared" ref="F283:F285" si="24">ROUND(D283*E283,2)</f>
        <v>0</v>
      </c>
    </row>
    <row r="284" spans="1:6" ht="17.399999999999999" customHeight="1" x14ac:dyDescent="0.3">
      <c r="A284" s="145" t="s">
        <v>391</v>
      </c>
      <c r="B284" s="181" t="s">
        <v>325</v>
      </c>
      <c r="C284" s="44" t="s">
        <v>18</v>
      </c>
      <c r="D284" s="80">
        <v>1</v>
      </c>
      <c r="E284" s="125">
        <v>0</v>
      </c>
      <c r="F284" s="81">
        <f t="shared" si="24"/>
        <v>0</v>
      </c>
    </row>
    <row r="285" spans="1:6" ht="17.399999999999999" customHeight="1" x14ac:dyDescent="0.3">
      <c r="A285" s="145" t="s">
        <v>392</v>
      </c>
      <c r="B285" s="181" t="s">
        <v>393</v>
      </c>
      <c r="C285" s="44" t="s">
        <v>18</v>
      </c>
      <c r="D285" s="80">
        <v>1</v>
      </c>
      <c r="E285" s="125">
        <v>1872</v>
      </c>
      <c r="F285" s="81">
        <f t="shared" si="24"/>
        <v>1872</v>
      </c>
    </row>
    <row r="286" spans="1:6" ht="17.399999999999999" customHeight="1" x14ac:dyDescent="0.3">
      <c r="A286" s="145" t="s">
        <v>394</v>
      </c>
      <c r="B286" s="181" t="s">
        <v>395</v>
      </c>
      <c r="C286" s="44" t="s">
        <v>18</v>
      </c>
      <c r="D286" s="80">
        <v>1</v>
      </c>
      <c r="E286" s="125">
        <v>15494.72</v>
      </c>
      <c r="F286" s="81">
        <f t="shared" ref="F286" si="25">ROUND(D286*E286,2)</f>
        <v>15494.72</v>
      </c>
    </row>
    <row r="287" spans="1:6" collapsed="1" x14ac:dyDescent="0.3">
      <c r="A287" s="144" t="s">
        <v>396</v>
      </c>
      <c r="B287" s="18" t="s">
        <v>84</v>
      </c>
      <c r="C287" s="65" t="s">
        <v>18</v>
      </c>
      <c r="D287" s="86">
        <v>1</v>
      </c>
      <c r="E287" s="78">
        <f>SUM(F288:F292)</f>
        <v>132236.5</v>
      </c>
      <c r="F287" s="79">
        <f>ROUND(D287*E287,2)</f>
        <v>132236.5</v>
      </c>
    </row>
    <row r="288" spans="1:6" ht="18.600000000000001" customHeight="1" x14ac:dyDescent="0.3">
      <c r="A288" s="145" t="s">
        <v>397</v>
      </c>
      <c r="B288" s="13" t="s">
        <v>364</v>
      </c>
      <c r="C288" s="44" t="s">
        <v>18</v>
      </c>
      <c r="D288" s="80">
        <v>1</v>
      </c>
      <c r="E288" s="125">
        <v>0</v>
      </c>
      <c r="F288" s="81">
        <f t="shared" ref="F288:F290" si="26">ROUND(D288*E288,2)</f>
        <v>0</v>
      </c>
    </row>
    <row r="289" spans="1:6" x14ac:dyDescent="0.3">
      <c r="A289" s="145" t="s">
        <v>398</v>
      </c>
      <c r="B289" s="13" t="s">
        <v>399</v>
      </c>
      <c r="C289" s="44" t="s">
        <v>18</v>
      </c>
      <c r="D289" s="80">
        <v>1</v>
      </c>
      <c r="E289" s="125">
        <v>0</v>
      </c>
      <c r="F289" s="81">
        <f t="shared" si="26"/>
        <v>0</v>
      </c>
    </row>
    <row r="290" spans="1:6" x14ac:dyDescent="0.3">
      <c r="A290" s="145" t="s">
        <v>400</v>
      </c>
      <c r="B290" s="13" t="s">
        <v>313</v>
      </c>
      <c r="C290" s="44" t="s">
        <v>18</v>
      </c>
      <c r="D290" s="80">
        <v>1</v>
      </c>
      <c r="E290" s="125">
        <v>41889.65</v>
      </c>
      <c r="F290" s="81">
        <f t="shared" si="26"/>
        <v>41889.65</v>
      </c>
    </row>
    <row r="291" spans="1:6" x14ac:dyDescent="0.3">
      <c r="A291" s="145" t="s">
        <v>400</v>
      </c>
      <c r="B291" s="182" t="s">
        <v>401</v>
      </c>
      <c r="C291" s="44" t="s">
        <v>18</v>
      </c>
      <c r="D291" s="80">
        <v>1</v>
      </c>
      <c r="E291" s="125">
        <v>74464.850000000006</v>
      </c>
      <c r="F291" s="81">
        <f t="shared" ref="F291:F292" si="27">ROUND(D291*E291,2)</f>
        <v>74464.850000000006</v>
      </c>
    </row>
    <row r="292" spans="1:6" x14ac:dyDescent="0.3">
      <c r="A292" s="145" t="s">
        <v>400</v>
      </c>
      <c r="B292" s="182" t="s">
        <v>402</v>
      </c>
      <c r="C292" s="44" t="s">
        <v>18</v>
      </c>
      <c r="D292" s="80">
        <v>1</v>
      </c>
      <c r="E292" s="125">
        <v>15882</v>
      </c>
      <c r="F292" s="81">
        <f t="shared" si="27"/>
        <v>15882</v>
      </c>
    </row>
    <row r="293" spans="1:6" collapsed="1" x14ac:dyDescent="0.3">
      <c r="A293" s="144" t="s">
        <v>403</v>
      </c>
      <c r="B293" s="18" t="s">
        <v>136</v>
      </c>
      <c r="C293" s="18" t="s">
        <v>18</v>
      </c>
      <c r="D293" s="86">
        <v>1</v>
      </c>
      <c r="E293" s="78">
        <f>SUM(F294:F298)</f>
        <v>23000</v>
      </c>
      <c r="F293" s="79">
        <f>ROUND(D293*E293,2)</f>
        <v>23000</v>
      </c>
    </row>
    <row r="294" spans="1:6" x14ac:dyDescent="0.3">
      <c r="A294" s="145" t="s">
        <v>404</v>
      </c>
      <c r="B294" s="13" t="s">
        <v>97</v>
      </c>
      <c r="C294" s="44" t="s">
        <v>18</v>
      </c>
      <c r="D294" s="80">
        <v>1</v>
      </c>
      <c r="E294" s="125">
        <f>9300*$E$401</f>
        <v>10695</v>
      </c>
      <c r="F294" s="81">
        <f t="shared" ref="F294:F298" si="28">ROUND(D294*E294,2)</f>
        <v>10695</v>
      </c>
    </row>
    <row r="295" spans="1:6" x14ac:dyDescent="0.3">
      <c r="A295" s="145" t="s">
        <v>405</v>
      </c>
      <c r="B295" s="13" t="s">
        <v>100</v>
      </c>
      <c r="C295" s="44" t="s">
        <v>18</v>
      </c>
      <c r="D295" s="80">
        <v>1</v>
      </c>
      <c r="E295" s="125">
        <f>6500*$E$401</f>
        <v>7474.9999999999991</v>
      </c>
      <c r="F295" s="81">
        <f t="shared" si="28"/>
        <v>7475</v>
      </c>
    </row>
    <row r="296" spans="1:6" x14ac:dyDescent="0.3">
      <c r="A296" s="145" t="s">
        <v>406</v>
      </c>
      <c r="B296" s="13" t="s">
        <v>407</v>
      </c>
      <c r="C296" s="44" t="s">
        <v>18</v>
      </c>
      <c r="D296" s="80">
        <v>1</v>
      </c>
      <c r="E296" s="125">
        <f>1000*$E$401</f>
        <v>1150</v>
      </c>
      <c r="F296" s="81">
        <f t="shared" si="28"/>
        <v>1150</v>
      </c>
    </row>
    <row r="297" spans="1:6" x14ac:dyDescent="0.3">
      <c r="A297" s="145" t="s">
        <v>408</v>
      </c>
      <c r="B297" s="13" t="s">
        <v>409</v>
      </c>
      <c r="C297" s="44" t="s">
        <v>18</v>
      </c>
      <c r="D297" s="80">
        <v>1</v>
      </c>
      <c r="E297" s="125">
        <f>2200*$E$401</f>
        <v>2530</v>
      </c>
      <c r="F297" s="81">
        <f t="shared" si="28"/>
        <v>2530</v>
      </c>
    </row>
    <row r="298" spans="1:6" x14ac:dyDescent="0.3">
      <c r="A298" s="145" t="s">
        <v>410</v>
      </c>
      <c r="B298" s="13" t="s">
        <v>106</v>
      </c>
      <c r="C298" s="44" t="s">
        <v>18</v>
      </c>
      <c r="D298" s="80">
        <v>1</v>
      </c>
      <c r="E298" s="125">
        <f>1000*$E$401</f>
        <v>1150</v>
      </c>
      <c r="F298" s="81">
        <f t="shared" si="28"/>
        <v>1150</v>
      </c>
    </row>
    <row r="299" spans="1:6" collapsed="1" x14ac:dyDescent="0.3">
      <c r="A299" s="144" t="s">
        <v>411</v>
      </c>
      <c r="B299" s="18" t="s">
        <v>108</v>
      </c>
      <c r="C299" s="18" t="s">
        <v>18</v>
      </c>
      <c r="D299" s="86">
        <v>1</v>
      </c>
      <c r="E299" s="78">
        <f>SUM(F300:F304)</f>
        <v>55493</v>
      </c>
      <c r="F299" s="79">
        <f>ROUND(D299*E299,2)</f>
        <v>55493</v>
      </c>
    </row>
    <row r="300" spans="1:6" ht="18.600000000000001" customHeight="1" x14ac:dyDescent="0.3">
      <c r="A300" s="145" t="s">
        <v>412</v>
      </c>
      <c r="B300" s="13" t="s">
        <v>110</v>
      </c>
      <c r="C300" s="44" t="s">
        <v>18</v>
      </c>
      <c r="D300" s="80">
        <v>1</v>
      </c>
      <c r="E300" s="125">
        <v>11807</v>
      </c>
      <c r="F300" s="81">
        <f t="shared" ref="F300:F304" si="29">ROUND(D300*E300,2)</f>
        <v>11807</v>
      </c>
    </row>
    <row r="301" spans="1:6" ht="18.600000000000001" customHeight="1" x14ac:dyDescent="0.3">
      <c r="A301" s="145" t="s">
        <v>413</v>
      </c>
      <c r="B301" s="13" t="s">
        <v>112</v>
      </c>
      <c r="C301" s="44" t="s">
        <v>18</v>
      </c>
      <c r="D301" s="80">
        <v>1</v>
      </c>
      <c r="E301" s="125">
        <v>21253</v>
      </c>
      <c r="F301" s="81">
        <f t="shared" si="29"/>
        <v>21253</v>
      </c>
    </row>
    <row r="302" spans="1:6" ht="18.600000000000001" customHeight="1" x14ac:dyDescent="0.3">
      <c r="A302" s="145" t="s">
        <v>414</v>
      </c>
      <c r="B302" s="13" t="s">
        <v>114</v>
      </c>
      <c r="C302" s="44" t="s">
        <v>18</v>
      </c>
      <c r="D302" s="80">
        <v>1</v>
      </c>
      <c r="E302" s="125">
        <v>8265</v>
      </c>
      <c r="F302" s="81">
        <f t="shared" si="29"/>
        <v>8265</v>
      </c>
    </row>
    <row r="303" spans="1:6" x14ac:dyDescent="0.3">
      <c r="A303" s="145" t="s">
        <v>415</v>
      </c>
      <c r="B303" s="13" t="s">
        <v>116</v>
      </c>
      <c r="C303" s="44" t="s">
        <v>18</v>
      </c>
      <c r="D303" s="80">
        <v>1</v>
      </c>
      <c r="E303" s="125">
        <v>2361</v>
      </c>
      <c r="F303" s="81">
        <f t="shared" si="29"/>
        <v>2361</v>
      </c>
    </row>
    <row r="304" spans="1:6" x14ac:dyDescent="0.3">
      <c r="A304" s="145" t="s">
        <v>416</v>
      </c>
      <c r="B304" s="13" t="s">
        <v>118</v>
      </c>
      <c r="C304" s="44" t="s">
        <v>18</v>
      </c>
      <c r="D304" s="80">
        <v>1</v>
      </c>
      <c r="E304" s="125">
        <v>11807</v>
      </c>
      <c r="F304" s="81">
        <f t="shared" si="29"/>
        <v>11807</v>
      </c>
    </row>
    <row r="305" spans="1:6" ht="15" collapsed="1" thickBot="1" x14ac:dyDescent="0.35">
      <c r="A305" s="144" t="s">
        <v>417</v>
      </c>
      <c r="B305" s="18" t="s">
        <v>239</v>
      </c>
      <c r="C305" s="66" t="s">
        <v>18</v>
      </c>
      <c r="D305" s="86">
        <v>1</v>
      </c>
      <c r="E305" s="78">
        <f>2700*$E$401</f>
        <v>3104.9999999999995</v>
      </c>
      <c r="F305" s="114">
        <f>ROUND(D305*E305,2)</f>
        <v>3105</v>
      </c>
    </row>
    <row r="306" spans="1:6" ht="18.75" customHeight="1" thickBot="1" x14ac:dyDescent="0.35">
      <c r="A306" s="143"/>
      <c r="B306" s="104" t="str">
        <f>CONCATENATE("Viso (",B281,")")</f>
        <v>Viso (Vietinių nuotekų siurblinė)</v>
      </c>
      <c r="C306" s="105"/>
      <c r="D306" s="106"/>
      <c r="E306" s="111"/>
      <c r="F306" s="94">
        <f>F282+F287+F293+F299+F305</f>
        <v>231201.22</v>
      </c>
    </row>
    <row r="307" spans="1:6" x14ac:dyDescent="0.3">
      <c r="A307" s="142" t="s">
        <v>418</v>
      </c>
      <c r="B307" s="92" t="s">
        <v>419</v>
      </c>
      <c r="C307" s="92"/>
      <c r="D307" s="101"/>
      <c r="E307" s="102"/>
      <c r="F307" s="115"/>
    </row>
    <row r="308" spans="1:6" x14ac:dyDescent="0.3">
      <c r="A308" s="144" t="s">
        <v>420</v>
      </c>
      <c r="B308" s="18" t="s">
        <v>72</v>
      </c>
      <c r="C308" s="66" t="s">
        <v>18</v>
      </c>
      <c r="D308" s="86">
        <v>1</v>
      </c>
      <c r="E308" s="78">
        <f>1055*$E$401</f>
        <v>1213.25</v>
      </c>
      <c r="F308" s="79">
        <f t="shared" ref="F308:F319" si="30">ROUND(D308*E308,2)</f>
        <v>1213.25</v>
      </c>
    </row>
    <row r="309" spans="1:6" x14ac:dyDescent="0.3">
      <c r="A309" s="144" t="s">
        <v>421</v>
      </c>
      <c r="B309" s="18" t="s">
        <v>108</v>
      </c>
      <c r="C309" s="66" t="s">
        <v>18</v>
      </c>
      <c r="D309" s="86">
        <v>1</v>
      </c>
      <c r="E309" s="78">
        <f>5000*$E$401</f>
        <v>5750</v>
      </c>
      <c r="F309" s="79">
        <f t="shared" si="30"/>
        <v>5750</v>
      </c>
    </row>
    <row r="310" spans="1:6" x14ac:dyDescent="0.3">
      <c r="A310" s="144" t="s">
        <v>422</v>
      </c>
      <c r="B310" s="18" t="s">
        <v>321</v>
      </c>
      <c r="C310" s="66" t="s">
        <v>18</v>
      </c>
      <c r="D310" s="86">
        <v>1</v>
      </c>
      <c r="E310" s="78">
        <f>SUM(F311:F312)</f>
        <v>11261.95</v>
      </c>
      <c r="F310" s="79">
        <f t="shared" si="30"/>
        <v>11261.95</v>
      </c>
    </row>
    <row r="311" spans="1:6" x14ac:dyDescent="0.3">
      <c r="A311" s="146" t="s">
        <v>423</v>
      </c>
      <c r="B311" s="43" t="s">
        <v>323</v>
      </c>
      <c r="C311" s="43" t="s">
        <v>18</v>
      </c>
      <c r="D311" s="80">
        <v>1</v>
      </c>
      <c r="E311" s="108">
        <f>6549*$E$401</f>
        <v>7531.3499999999995</v>
      </c>
      <c r="F311" s="81">
        <f t="shared" si="30"/>
        <v>7531.35</v>
      </c>
    </row>
    <row r="312" spans="1:6" x14ac:dyDescent="0.3">
      <c r="A312" s="146" t="s">
        <v>424</v>
      </c>
      <c r="B312" s="45" t="s">
        <v>325</v>
      </c>
      <c r="C312" s="45" t="s">
        <v>18</v>
      </c>
      <c r="D312" s="80">
        <v>1</v>
      </c>
      <c r="E312" s="103">
        <f>3244*$E$401</f>
        <v>3730.6</v>
      </c>
      <c r="F312" s="81">
        <f t="shared" si="30"/>
        <v>3730.6</v>
      </c>
    </row>
    <row r="313" spans="1:6" collapsed="1" x14ac:dyDescent="0.3">
      <c r="A313" s="144" t="s">
        <v>425</v>
      </c>
      <c r="B313" s="18" t="s">
        <v>136</v>
      </c>
      <c r="C313" s="66" t="s">
        <v>18</v>
      </c>
      <c r="D313" s="86">
        <v>1</v>
      </c>
      <c r="E313" s="78">
        <f>SUM(F314:F318)</f>
        <v>51750</v>
      </c>
      <c r="F313" s="79">
        <f t="shared" si="30"/>
        <v>51750</v>
      </c>
    </row>
    <row r="314" spans="1:6" x14ac:dyDescent="0.3">
      <c r="A314" s="146" t="s">
        <v>426</v>
      </c>
      <c r="B314" s="5" t="s">
        <v>97</v>
      </c>
      <c r="C314" s="180" t="s">
        <v>18</v>
      </c>
      <c r="D314" s="80">
        <v>1</v>
      </c>
      <c r="E314" s="89">
        <f>7000*$E$401</f>
        <v>8049.9999999999991</v>
      </c>
      <c r="F314" s="81">
        <f t="shared" si="30"/>
        <v>8050</v>
      </c>
    </row>
    <row r="315" spans="1:6" x14ac:dyDescent="0.3">
      <c r="A315" s="146" t="s">
        <v>427</v>
      </c>
      <c r="B315" s="5" t="s">
        <v>428</v>
      </c>
      <c r="C315" s="180" t="s">
        <v>18</v>
      </c>
      <c r="D315" s="80">
        <v>1</v>
      </c>
      <c r="E315" s="89">
        <f>25000*$E$401</f>
        <v>28749.999999999996</v>
      </c>
      <c r="F315" s="81">
        <f t="shared" si="30"/>
        <v>28750</v>
      </c>
    </row>
    <row r="316" spans="1:6" x14ac:dyDescent="0.3">
      <c r="A316" s="146" t="s">
        <v>429</v>
      </c>
      <c r="B316" s="5" t="s">
        <v>407</v>
      </c>
      <c r="C316" s="180" t="s">
        <v>18</v>
      </c>
      <c r="D316" s="80">
        <v>1</v>
      </c>
      <c r="E316" s="89">
        <f>2500*$E$401</f>
        <v>2875</v>
      </c>
      <c r="F316" s="81">
        <f t="shared" si="30"/>
        <v>2875</v>
      </c>
    </row>
    <row r="317" spans="1:6" x14ac:dyDescent="0.3">
      <c r="A317" s="146" t="s">
        <v>430</v>
      </c>
      <c r="B317" s="5" t="s">
        <v>102</v>
      </c>
      <c r="C317" s="180" t="s">
        <v>18</v>
      </c>
      <c r="D317" s="80">
        <v>1</v>
      </c>
      <c r="E317" s="89">
        <f>1600*$E$401</f>
        <v>1839.9999999999998</v>
      </c>
      <c r="F317" s="81">
        <f t="shared" si="30"/>
        <v>1840</v>
      </c>
    </row>
    <row r="318" spans="1:6" x14ac:dyDescent="0.3">
      <c r="A318" s="146" t="s">
        <v>431</v>
      </c>
      <c r="B318" s="5" t="s">
        <v>432</v>
      </c>
      <c r="C318" s="180" t="s">
        <v>18</v>
      </c>
      <c r="D318" s="80">
        <v>1</v>
      </c>
      <c r="E318" s="89">
        <f>8900*$E$401</f>
        <v>10235</v>
      </c>
      <c r="F318" s="81">
        <f t="shared" si="30"/>
        <v>10235</v>
      </c>
    </row>
    <row r="319" spans="1:6" ht="15" collapsed="1" thickBot="1" x14ac:dyDescent="0.35">
      <c r="A319" s="144" t="s">
        <v>433</v>
      </c>
      <c r="B319" s="18" t="s">
        <v>349</v>
      </c>
      <c r="C319" s="66" t="s">
        <v>18</v>
      </c>
      <c r="D319" s="86">
        <v>1</v>
      </c>
      <c r="E319" s="78">
        <f>11605*$E$401</f>
        <v>13345.749999999998</v>
      </c>
      <c r="F319" s="114">
        <f t="shared" si="30"/>
        <v>13345.75</v>
      </c>
    </row>
    <row r="320" spans="1:6" ht="15" thickBot="1" x14ac:dyDescent="0.35">
      <c r="A320" s="143"/>
      <c r="B320" s="104" t="str">
        <f>CONCATENATE("Viso (",B307,")")</f>
        <v>Viso (Elektros skirstykla TR1)</v>
      </c>
      <c r="C320" s="105"/>
      <c r="D320" s="106"/>
      <c r="E320" s="111"/>
      <c r="F320" s="94">
        <f>F308+F309+F310+F313+F319</f>
        <v>83320.95</v>
      </c>
    </row>
    <row r="321" spans="1:6" x14ac:dyDescent="0.3">
      <c r="A321" s="142" t="s">
        <v>434</v>
      </c>
      <c r="B321" s="92" t="s">
        <v>435</v>
      </c>
      <c r="C321" s="92"/>
      <c r="D321" s="101"/>
      <c r="E321" s="102"/>
      <c r="F321" s="115"/>
    </row>
    <row r="322" spans="1:6" x14ac:dyDescent="0.3">
      <c r="A322" s="144" t="s">
        <v>436</v>
      </c>
      <c r="B322" s="18" t="s">
        <v>341</v>
      </c>
      <c r="C322" s="18" t="s">
        <v>18</v>
      </c>
      <c r="D322" s="86">
        <v>1</v>
      </c>
      <c r="E322" s="78">
        <f>42200*$E$401</f>
        <v>48529.999999999993</v>
      </c>
      <c r="F322" s="79">
        <f>ROUND(D322*E322,2)</f>
        <v>48530</v>
      </c>
    </row>
    <row r="323" spans="1:6" x14ac:dyDescent="0.3">
      <c r="A323" s="144" t="s">
        <v>437</v>
      </c>
      <c r="B323" s="18" t="s">
        <v>438</v>
      </c>
      <c r="C323" s="210" t="s">
        <v>18</v>
      </c>
      <c r="D323" s="86">
        <v>1</v>
      </c>
      <c r="E323" s="78">
        <f>SUM(F324:F326)</f>
        <v>15502.95</v>
      </c>
      <c r="F323" s="79">
        <f>ROUND(D323*E323,2)</f>
        <v>15502.95</v>
      </c>
    </row>
    <row r="324" spans="1:6" x14ac:dyDescent="0.3">
      <c r="A324" s="206" t="s">
        <v>439</v>
      </c>
      <c r="B324" s="213" t="s">
        <v>507</v>
      </c>
      <c r="C324" s="211" t="s">
        <v>98</v>
      </c>
      <c r="D324" s="207">
        <v>1</v>
      </c>
      <c r="E324" s="208">
        <f>8018*$E$401</f>
        <v>9220.6999999999989</v>
      </c>
      <c r="F324" s="209">
        <f t="shared" ref="F324:F326" si="31">ROUND(D324*E324,2)</f>
        <v>9220.7000000000007</v>
      </c>
    </row>
    <row r="325" spans="1:6" x14ac:dyDescent="0.3">
      <c r="A325" s="146" t="s">
        <v>440</v>
      </c>
      <c r="B325" s="67" t="s">
        <v>441</v>
      </c>
      <c r="C325" s="212" t="s">
        <v>98</v>
      </c>
      <c r="D325" s="80">
        <v>1</v>
      </c>
      <c r="E325" s="133">
        <f>1318.5*$E$401</f>
        <v>1516.2749999999999</v>
      </c>
      <c r="F325" s="81">
        <f t="shared" si="31"/>
        <v>1516.28</v>
      </c>
    </row>
    <row r="326" spans="1:6" ht="15" thickBot="1" x14ac:dyDescent="0.35">
      <c r="A326" s="146" t="s">
        <v>442</v>
      </c>
      <c r="B326" s="67" t="s">
        <v>443</v>
      </c>
      <c r="C326" s="68" t="s">
        <v>98</v>
      </c>
      <c r="D326" s="118">
        <v>1</v>
      </c>
      <c r="E326" s="126">
        <f>4144.32*$E$401</f>
        <v>4765.9679999999989</v>
      </c>
      <c r="F326" s="93">
        <f t="shared" si="31"/>
        <v>4765.97</v>
      </c>
    </row>
    <row r="327" spans="1:6" ht="15" collapsed="1" thickBot="1" x14ac:dyDescent="0.35">
      <c r="A327" s="189"/>
      <c r="B327" s="190" t="str">
        <f>CONCATENATE("Viso (",B321,")")</f>
        <v>Viso (Rekonstruojamų įrenginių teritorijos sutvarkymas)</v>
      </c>
      <c r="C327" s="191"/>
      <c r="D327" s="192"/>
      <c r="E327" s="193"/>
      <c r="F327" s="95">
        <f>F322+F323-0.06</f>
        <v>64032.89</v>
      </c>
    </row>
    <row r="328" spans="1:6" x14ac:dyDescent="0.3">
      <c r="A328" s="142" t="s">
        <v>504</v>
      </c>
      <c r="B328" s="92" t="s">
        <v>475</v>
      </c>
      <c r="C328" s="92"/>
      <c r="D328" s="194"/>
      <c r="E328" s="195"/>
      <c r="F328" s="183"/>
    </row>
    <row r="329" spans="1:6" x14ac:dyDescent="0.3">
      <c r="A329" s="138" t="s">
        <v>16</v>
      </c>
      <c r="B329" s="196" t="s">
        <v>476</v>
      </c>
      <c r="C329" s="3" t="s">
        <v>18</v>
      </c>
      <c r="D329" s="197">
        <v>1</v>
      </c>
      <c r="E329" s="79">
        <v>7707</v>
      </c>
      <c r="F329" s="198">
        <f>ROUND(D329*E329,2)</f>
        <v>7707</v>
      </c>
    </row>
    <row r="330" spans="1:6" x14ac:dyDescent="0.3">
      <c r="A330" s="138" t="s">
        <v>23</v>
      </c>
      <c r="B330" s="196" t="s">
        <v>477</v>
      </c>
      <c r="C330" s="3" t="s">
        <v>18</v>
      </c>
      <c r="D330" s="197">
        <v>1</v>
      </c>
      <c r="E330" s="79">
        <v>3278.1</v>
      </c>
      <c r="F330" s="198">
        <f t="shared" ref="F330:F331" si="32">ROUND(D330*E330,2)</f>
        <v>3278.1</v>
      </c>
    </row>
    <row r="331" spans="1:6" ht="15" thickBot="1" x14ac:dyDescent="0.35">
      <c r="A331" s="199" t="s">
        <v>35</v>
      </c>
      <c r="B331" s="200" t="s">
        <v>478</v>
      </c>
      <c r="C331" s="201" t="s">
        <v>18</v>
      </c>
      <c r="D331" s="202">
        <v>1</v>
      </c>
      <c r="E331" s="114">
        <v>535.5</v>
      </c>
      <c r="F331" s="203">
        <f t="shared" si="32"/>
        <v>535.5</v>
      </c>
    </row>
    <row r="332" spans="1:6" ht="15" collapsed="1" thickBot="1" x14ac:dyDescent="0.35">
      <c r="A332" s="189"/>
      <c r="B332" s="190" t="str">
        <f>CONCATENATE("Viso (",B328,")")</f>
        <v>Viso (Objekto pridavimo procedūros)</v>
      </c>
      <c r="C332" s="191"/>
      <c r="D332" s="192"/>
      <c r="E332" s="193"/>
      <c r="F332" s="94">
        <f>SUM(F329:F331)</f>
        <v>11520.6</v>
      </c>
    </row>
    <row r="333" spans="1:6" x14ac:dyDescent="0.3">
      <c r="A333" s="142" t="s">
        <v>505</v>
      </c>
      <c r="B333" s="92" t="s">
        <v>479</v>
      </c>
      <c r="C333" s="92"/>
      <c r="D333" s="194"/>
      <c r="E333" s="195"/>
      <c r="F333" s="183"/>
    </row>
    <row r="334" spans="1:6" x14ac:dyDescent="0.3">
      <c r="A334" s="138" t="s">
        <v>71</v>
      </c>
      <c r="B334" s="196" t="s">
        <v>480</v>
      </c>
      <c r="C334" s="3" t="s">
        <v>18</v>
      </c>
      <c r="D334" s="197">
        <v>1</v>
      </c>
      <c r="E334" s="79">
        <v>22491</v>
      </c>
      <c r="F334" s="198">
        <f>ROUND(D334*E334,2)</f>
        <v>22491</v>
      </c>
    </row>
    <row r="335" spans="1:6" x14ac:dyDescent="0.3">
      <c r="A335" s="138" t="s">
        <v>83</v>
      </c>
      <c r="B335" s="196" t="s">
        <v>481</v>
      </c>
      <c r="C335" s="3" t="s">
        <v>18</v>
      </c>
      <c r="D335" s="197">
        <v>1</v>
      </c>
      <c r="E335" s="79">
        <v>5355</v>
      </c>
      <c r="F335" s="198">
        <f t="shared" ref="F335:F342" si="33">ROUND(D335*E335,2)</f>
        <v>5355</v>
      </c>
    </row>
    <row r="336" spans="1:6" x14ac:dyDescent="0.3">
      <c r="A336" s="199" t="s">
        <v>94</v>
      </c>
      <c r="B336" s="200" t="s">
        <v>482</v>
      </c>
      <c r="C336" s="201" t="s">
        <v>18</v>
      </c>
      <c r="D336" s="202">
        <v>1</v>
      </c>
      <c r="E336" s="204">
        <v>2310</v>
      </c>
      <c r="F336" s="198">
        <f t="shared" si="33"/>
        <v>2310</v>
      </c>
    </row>
    <row r="337" spans="1:8" x14ac:dyDescent="0.3">
      <c r="A337" s="199" t="s">
        <v>107</v>
      </c>
      <c r="B337" s="200" t="s">
        <v>443</v>
      </c>
      <c r="C337" s="201" t="s">
        <v>18</v>
      </c>
      <c r="D337" s="202">
        <v>1</v>
      </c>
      <c r="E337" s="204">
        <v>17100</v>
      </c>
      <c r="F337" s="198">
        <f t="shared" si="33"/>
        <v>17100</v>
      </c>
      <c r="G337" s="123"/>
    </row>
    <row r="338" spans="1:8" x14ac:dyDescent="0.3">
      <c r="A338" s="199" t="s">
        <v>483</v>
      </c>
      <c r="B338" s="200" t="s">
        <v>484</v>
      </c>
      <c r="C338" s="201" t="s">
        <v>18</v>
      </c>
      <c r="D338" s="202">
        <v>1</v>
      </c>
      <c r="E338" s="204">
        <v>113500</v>
      </c>
      <c r="F338" s="198">
        <f t="shared" si="33"/>
        <v>113500</v>
      </c>
      <c r="H338" s="123"/>
    </row>
    <row r="339" spans="1:8" x14ac:dyDescent="0.3">
      <c r="A339" s="199" t="s">
        <v>485</v>
      </c>
      <c r="B339" s="200" t="s">
        <v>486</v>
      </c>
      <c r="C339" s="201" t="s">
        <v>18</v>
      </c>
      <c r="D339" s="202">
        <v>1</v>
      </c>
      <c r="E339" s="204">
        <v>104790</v>
      </c>
      <c r="F339" s="198">
        <f t="shared" si="33"/>
        <v>104790</v>
      </c>
    </row>
    <row r="340" spans="1:8" x14ac:dyDescent="0.3">
      <c r="A340" s="199" t="s">
        <v>487</v>
      </c>
      <c r="B340" s="200" t="s">
        <v>488</v>
      </c>
      <c r="C340" s="201" t="s">
        <v>18</v>
      </c>
      <c r="D340" s="202">
        <v>1</v>
      </c>
      <c r="E340" s="204">
        <v>9601.0400000000009</v>
      </c>
      <c r="F340" s="198">
        <f t="shared" si="33"/>
        <v>9601.0400000000009</v>
      </c>
    </row>
    <row r="341" spans="1:8" x14ac:dyDescent="0.3">
      <c r="A341" s="199" t="s">
        <v>489</v>
      </c>
      <c r="B341" s="200" t="s">
        <v>490</v>
      </c>
      <c r="C341" s="3" t="s">
        <v>18</v>
      </c>
      <c r="D341" s="197">
        <v>1</v>
      </c>
      <c r="E341" s="79">
        <v>3570</v>
      </c>
      <c r="F341" s="198">
        <f t="shared" si="33"/>
        <v>3570</v>
      </c>
    </row>
    <row r="342" spans="1:8" ht="15" thickBot="1" x14ac:dyDescent="0.35">
      <c r="A342" s="199" t="s">
        <v>491</v>
      </c>
      <c r="B342" s="200" t="s">
        <v>492</v>
      </c>
      <c r="C342" s="201" t="s">
        <v>18</v>
      </c>
      <c r="D342" s="202">
        <v>1</v>
      </c>
      <c r="E342" s="204">
        <v>630</v>
      </c>
      <c r="F342" s="198">
        <f t="shared" si="33"/>
        <v>630</v>
      </c>
    </row>
    <row r="343" spans="1:8" ht="15" collapsed="1" thickBot="1" x14ac:dyDescent="0.35">
      <c r="A343" s="189"/>
      <c r="B343" s="190" t="str">
        <f>CONCATENATE("Viso (",B333,")")</f>
        <v>Viso (Vietinių nuotekų slėginė linija)</v>
      </c>
      <c r="C343" s="191"/>
      <c r="D343" s="192"/>
      <c r="E343" s="193"/>
      <c r="F343" s="94">
        <f>SUM(F334:F342)</f>
        <v>279347.03999999998</v>
      </c>
    </row>
    <row r="344" spans="1:8" ht="30.6" customHeight="1" x14ac:dyDescent="0.3">
      <c r="A344" s="142" t="s">
        <v>506</v>
      </c>
      <c r="B344" s="92" t="s">
        <v>493</v>
      </c>
      <c r="C344" s="92"/>
      <c r="D344" s="194"/>
      <c r="E344" s="195"/>
      <c r="F344" s="183"/>
    </row>
    <row r="345" spans="1:8" x14ac:dyDescent="0.3">
      <c r="A345" s="138" t="s">
        <v>121</v>
      </c>
      <c r="B345" s="196" t="s">
        <v>494</v>
      </c>
      <c r="C345" s="3" t="s">
        <v>18</v>
      </c>
      <c r="D345" s="197">
        <v>1</v>
      </c>
      <c r="E345" s="205">
        <v>9975</v>
      </c>
      <c r="F345" s="198">
        <f>ROUND(D345*E345,2)</f>
        <v>9975</v>
      </c>
    </row>
    <row r="346" spans="1:8" x14ac:dyDescent="0.3">
      <c r="A346" s="138" t="s">
        <v>129</v>
      </c>
      <c r="B346" s="196" t="s">
        <v>495</v>
      </c>
      <c r="C346" s="3" t="s">
        <v>18</v>
      </c>
      <c r="D346" s="197">
        <v>1</v>
      </c>
      <c r="E346" s="205">
        <v>12652.5</v>
      </c>
      <c r="F346" s="198">
        <f>ROUND(D346*E346,2)</f>
        <v>12652.5</v>
      </c>
    </row>
    <row r="347" spans="1:8" x14ac:dyDescent="0.3">
      <c r="A347" s="199" t="s">
        <v>135</v>
      </c>
      <c r="B347" s="200" t="s">
        <v>496</v>
      </c>
      <c r="C347" s="201" t="s">
        <v>18</v>
      </c>
      <c r="D347" s="202">
        <v>1</v>
      </c>
      <c r="E347" s="204">
        <v>16821</v>
      </c>
      <c r="F347" s="198">
        <f t="shared" ref="F347:F351" si="34">ROUND(D347*E347,2)</f>
        <v>16821</v>
      </c>
    </row>
    <row r="348" spans="1:8" x14ac:dyDescent="0.3">
      <c r="A348" s="199" t="s">
        <v>142</v>
      </c>
      <c r="B348" s="200" t="s">
        <v>497</v>
      </c>
      <c r="C348" s="201" t="s">
        <v>18</v>
      </c>
      <c r="D348" s="202">
        <v>1</v>
      </c>
      <c r="E348" s="205">
        <v>26635.14</v>
      </c>
      <c r="F348" s="198">
        <f>ROUND(D348*E348,2)</f>
        <v>26635.14</v>
      </c>
    </row>
    <row r="349" spans="1:8" x14ac:dyDescent="0.3">
      <c r="A349" s="199" t="s">
        <v>498</v>
      </c>
      <c r="B349" s="200" t="s">
        <v>499</v>
      </c>
      <c r="C349" s="201" t="s">
        <v>18</v>
      </c>
      <c r="D349" s="202">
        <v>1</v>
      </c>
      <c r="E349" s="205">
        <v>30960.3</v>
      </c>
      <c r="F349" s="198">
        <f t="shared" si="34"/>
        <v>30960.3</v>
      </c>
    </row>
    <row r="350" spans="1:8" x14ac:dyDescent="0.3">
      <c r="A350" s="199" t="s">
        <v>500</v>
      </c>
      <c r="B350" s="200" t="s">
        <v>501</v>
      </c>
      <c r="C350" s="201" t="s">
        <v>18</v>
      </c>
      <c r="D350" s="202">
        <v>1</v>
      </c>
      <c r="E350" s="205">
        <v>83349</v>
      </c>
      <c r="F350" s="198">
        <f>ROUND(D350*E350,2)</f>
        <v>83349</v>
      </c>
    </row>
    <row r="351" spans="1:8" ht="15" thickBot="1" x14ac:dyDescent="0.35">
      <c r="A351" s="199" t="s">
        <v>502</v>
      </c>
      <c r="B351" s="200" t="s">
        <v>503</v>
      </c>
      <c r="C351" s="201" t="s">
        <v>18</v>
      </c>
      <c r="D351" s="202">
        <v>1</v>
      </c>
      <c r="E351" s="205">
        <v>19425</v>
      </c>
      <c r="F351" s="198">
        <f t="shared" si="34"/>
        <v>19425</v>
      </c>
    </row>
    <row r="352" spans="1:8" ht="34.950000000000003" customHeight="1" collapsed="1" thickBot="1" x14ac:dyDescent="0.35">
      <c r="A352" s="184"/>
      <c r="B352" s="185" t="str">
        <f>CONCATENATE("Viso (",B344,")")</f>
        <v>Viso (Kanalų tarp antrinių sėsdintuvų ir tretinio valymo uždengimas, esamų porankių, perėjimų, uždorių demontavimas)</v>
      </c>
      <c r="C352" s="186"/>
      <c r="D352" s="187"/>
      <c r="E352" s="188"/>
      <c r="F352" s="94">
        <f>SUM(F345:F351)</f>
        <v>199817.94</v>
      </c>
    </row>
    <row r="353" spans="1:6" x14ac:dyDescent="0.3">
      <c r="A353" s="142" t="s">
        <v>509</v>
      </c>
      <c r="B353" s="92" t="s">
        <v>510</v>
      </c>
      <c r="C353" s="92"/>
      <c r="D353" s="194"/>
      <c r="E353" s="195"/>
      <c r="F353" s="183"/>
    </row>
    <row r="354" spans="1:6" ht="15" thickBot="1" x14ac:dyDescent="0.35">
      <c r="A354" s="138" t="s">
        <v>511</v>
      </c>
      <c r="B354" s="196" t="s">
        <v>510</v>
      </c>
      <c r="C354" s="3" t="s">
        <v>18</v>
      </c>
      <c r="D354" s="86">
        <v>1</v>
      </c>
      <c r="E354" s="205">
        <v>221479.43</v>
      </c>
      <c r="F354" s="198">
        <f>ROUND(D354*E354,2)</f>
        <v>221479.43</v>
      </c>
    </row>
    <row r="355" spans="1:6" ht="15" thickBot="1" x14ac:dyDescent="0.35">
      <c r="A355" s="184"/>
      <c r="B355" s="185" t="str">
        <f>CONCATENATE("Viso (",B353,")")</f>
        <v>Viso (Vietinių nuotekų tinklų įvelkant rankoves remontas)</v>
      </c>
      <c r="C355" s="186"/>
      <c r="D355" s="187"/>
      <c r="E355" s="188"/>
      <c r="F355" s="94">
        <f>SUM(F354:F354)</f>
        <v>221479.43</v>
      </c>
    </row>
    <row r="356" spans="1:6" x14ac:dyDescent="0.3">
      <c r="A356" s="142" t="s">
        <v>512</v>
      </c>
      <c r="B356" s="92" t="s">
        <v>513</v>
      </c>
      <c r="C356" s="92"/>
      <c r="D356" s="194"/>
      <c r="E356" s="195"/>
      <c r="F356" s="183"/>
    </row>
    <row r="357" spans="1:6" x14ac:dyDescent="0.3">
      <c r="A357" s="138" t="s">
        <v>514</v>
      </c>
      <c r="B357" s="196" t="s">
        <v>494</v>
      </c>
      <c r="C357" s="3" t="s">
        <v>18</v>
      </c>
      <c r="D357" s="86">
        <v>1</v>
      </c>
      <c r="E357" s="205">
        <v>3200</v>
      </c>
      <c r="F357" s="198">
        <f t="shared" ref="F357:F362" si="35">ROUND(D357*E357,2)</f>
        <v>3200</v>
      </c>
    </row>
    <row r="358" spans="1:6" x14ac:dyDescent="0.3">
      <c r="A358" s="138" t="s">
        <v>515</v>
      </c>
      <c r="B358" s="196" t="s">
        <v>84</v>
      </c>
      <c r="C358" s="3" t="s">
        <v>18</v>
      </c>
      <c r="D358" s="86">
        <v>1</v>
      </c>
      <c r="E358" s="78">
        <f>SUM(F359:F361)</f>
        <v>142269</v>
      </c>
      <c r="F358" s="198">
        <f t="shared" si="35"/>
        <v>142269</v>
      </c>
    </row>
    <row r="359" spans="1:6" x14ac:dyDescent="0.3">
      <c r="A359" s="140" t="s">
        <v>516</v>
      </c>
      <c r="B359" s="214" t="s">
        <v>517</v>
      </c>
      <c r="C359" s="2" t="s">
        <v>18</v>
      </c>
      <c r="D359" s="215">
        <v>1</v>
      </c>
      <c r="E359" s="216">
        <v>124769</v>
      </c>
      <c r="F359" s="217">
        <f t="shared" si="35"/>
        <v>124769</v>
      </c>
    </row>
    <row r="360" spans="1:6" x14ac:dyDescent="0.3">
      <c r="A360" s="140" t="s">
        <v>518</v>
      </c>
      <c r="B360" s="13" t="s">
        <v>519</v>
      </c>
      <c r="C360" s="2" t="s">
        <v>18</v>
      </c>
      <c r="D360" s="215">
        <v>1</v>
      </c>
      <c r="E360" s="216">
        <v>15000</v>
      </c>
      <c r="F360" s="217">
        <f t="shared" si="35"/>
        <v>15000</v>
      </c>
    </row>
    <row r="361" spans="1:6" x14ac:dyDescent="0.3">
      <c r="A361" s="140" t="s">
        <v>520</v>
      </c>
      <c r="B361" s="214" t="s">
        <v>106</v>
      </c>
      <c r="C361" s="2" t="s">
        <v>18</v>
      </c>
      <c r="D361" s="215">
        <v>1</v>
      </c>
      <c r="E361" s="216">
        <v>2500</v>
      </c>
      <c r="F361" s="217">
        <f t="shared" si="35"/>
        <v>2500</v>
      </c>
    </row>
    <row r="362" spans="1:6" ht="15" thickBot="1" x14ac:dyDescent="0.35">
      <c r="A362" s="144" t="s">
        <v>521</v>
      </c>
      <c r="B362" s="18" t="s">
        <v>136</v>
      </c>
      <c r="C362" s="218" t="s">
        <v>18</v>
      </c>
      <c r="D362" s="86">
        <v>1</v>
      </c>
      <c r="E362" s="204">
        <v>12750</v>
      </c>
      <c r="F362" s="198">
        <f t="shared" si="35"/>
        <v>12750</v>
      </c>
    </row>
    <row r="363" spans="1:6" ht="28.2" thickBot="1" x14ac:dyDescent="0.35">
      <c r="A363" s="184"/>
      <c r="B363" s="185" t="str">
        <f>CONCATENATE("Viso (",B356,")")</f>
        <v>Viso (Šepečių įrengimas esamuose antrinių sėsdintuvų latakuose )</v>
      </c>
      <c r="C363" s="186"/>
      <c r="D363" s="187"/>
      <c r="E363" s="188"/>
      <c r="F363" s="94">
        <f>F362+F358+F357</f>
        <v>158219</v>
      </c>
    </row>
    <row r="364" spans="1:6" ht="15" thickBot="1" x14ac:dyDescent="0.35">
      <c r="A364" s="96" t="s">
        <v>444</v>
      </c>
      <c r="B364" s="97" t="s">
        <v>445</v>
      </c>
      <c r="C364" s="98"/>
      <c r="D364" s="99"/>
      <c r="E364" s="100"/>
      <c r="F364" s="119">
        <f>F365</f>
        <v>13651238.719999995</v>
      </c>
    </row>
    <row r="365" spans="1:6" ht="15" thickBot="1" x14ac:dyDescent="0.35">
      <c r="A365" s="69" t="s">
        <v>444</v>
      </c>
      <c r="B365" s="70" t="s">
        <v>446</v>
      </c>
      <c r="C365" s="71"/>
      <c r="D365" s="90"/>
      <c r="E365" s="72"/>
      <c r="F365" s="119">
        <f>+F251+F327+F320+F306+F280+F212+F189+F166+F143+F115+F89+F63+F37+F332+F343+F352+F355+F363</f>
        <v>13651238.719999995</v>
      </c>
    </row>
    <row r="366" spans="1:6" ht="15" thickBot="1" x14ac:dyDescent="0.35">
      <c r="A366" s="73" t="s">
        <v>444</v>
      </c>
      <c r="B366" s="49" t="s">
        <v>447</v>
      </c>
      <c r="C366" s="50"/>
      <c r="D366" s="83"/>
      <c r="E366" s="63"/>
      <c r="F366" s="120">
        <f>ROUND(F365*21/100,2)</f>
        <v>2866760.13</v>
      </c>
    </row>
    <row r="367" spans="1:6" ht="15" thickBot="1" x14ac:dyDescent="0.35">
      <c r="A367" s="74" t="s">
        <v>444</v>
      </c>
      <c r="B367" s="75" t="s">
        <v>448</v>
      </c>
      <c r="C367" s="76"/>
      <c r="D367" s="91"/>
      <c r="E367" s="117"/>
      <c r="F367" s="121">
        <f>F365+F366</f>
        <v>16517998.849999994</v>
      </c>
    </row>
    <row r="368" spans="1:6" x14ac:dyDescent="0.3">
      <c r="A368" s="29" t="s">
        <v>449</v>
      </c>
      <c r="B368" s="177"/>
      <c r="C368" s="30"/>
      <c r="D368" s="30"/>
      <c r="E368" s="134"/>
    </row>
    <row r="369" spans="1:6" ht="14.7" hidden="1" customHeight="1" x14ac:dyDescent="0.3">
      <c r="A369" s="29" t="s">
        <v>452</v>
      </c>
      <c r="B369" s="30"/>
      <c r="C369" s="30"/>
      <c r="D369" s="30"/>
      <c r="E369" s="134"/>
    </row>
    <row r="370" spans="1:6" ht="14.7" hidden="1" customHeight="1" x14ac:dyDescent="0.3">
      <c r="A370" s="31"/>
      <c r="B370" s="178" t="s">
        <v>471</v>
      </c>
      <c r="C370" s="31"/>
      <c r="D370" s="31"/>
      <c r="E370" s="135"/>
    </row>
    <row r="371" spans="1:6" ht="14.7" hidden="1" customHeight="1" x14ac:dyDescent="0.3">
      <c r="A371" s="30"/>
      <c r="B371" s="179" t="s">
        <v>450</v>
      </c>
      <c r="C371" s="30"/>
      <c r="D371" s="30"/>
      <c r="E371" s="134"/>
    </row>
    <row r="372" spans="1:6" ht="14.7" hidden="1" customHeight="1" x14ac:dyDescent="0.3">
      <c r="A372" s="30"/>
      <c r="B372" s="177"/>
      <c r="C372" s="30"/>
      <c r="D372" s="31"/>
      <c r="E372" s="135"/>
    </row>
    <row r="373" spans="1:6" ht="14.7" hidden="1" customHeight="1" x14ac:dyDescent="0.3">
      <c r="A373" s="30"/>
      <c r="B373" s="177"/>
      <c r="C373" s="33"/>
      <c r="D373" s="34" t="s">
        <v>451</v>
      </c>
      <c r="E373" s="136"/>
    </row>
    <row r="374" spans="1:6" ht="14.7" hidden="1" customHeight="1" x14ac:dyDescent="0.3">
      <c r="A374" s="29" t="s">
        <v>453</v>
      </c>
      <c r="B374" s="177"/>
      <c r="C374" s="30"/>
      <c r="D374" s="30"/>
      <c r="E374" s="134"/>
    </row>
    <row r="375" spans="1:6" ht="14.7" hidden="1" customHeight="1" x14ac:dyDescent="0.3">
      <c r="A375" s="31"/>
      <c r="B375" s="178" t="s">
        <v>472</v>
      </c>
      <c r="C375" s="31"/>
      <c r="D375" s="31"/>
      <c r="E375" s="135"/>
    </row>
    <row r="376" spans="1:6" ht="14.7" hidden="1" customHeight="1" x14ac:dyDescent="0.3">
      <c r="A376" s="30"/>
      <c r="B376" s="179" t="s">
        <v>450</v>
      </c>
      <c r="C376" s="30"/>
      <c r="D376" s="30"/>
      <c r="E376" s="134"/>
    </row>
    <row r="377" spans="1:6" ht="14.7" hidden="1" customHeight="1" thickBot="1" x14ac:dyDescent="0.35">
      <c r="A377" s="73" t="s">
        <v>444</v>
      </c>
      <c r="B377" s="49" t="s">
        <v>447</v>
      </c>
      <c r="C377" s="50"/>
      <c r="D377" s="83"/>
      <c r="E377" s="63"/>
      <c r="F377" s="120">
        <f>ROUND(F376*21/100,2)</f>
        <v>0</v>
      </c>
    </row>
    <row r="378" spans="1:6" ht="14.7" hidden="1" customHeight="1" thickBot="1" x14ac:dyDescent="0.35">
      <c r="A378" s="74" t="s">
        <v>444</v>
      </c>
      <c r="B378" s="75" t="s">
        <v>448</v>
      </c>
      <c r="C378" s="76"/>
      <c r="D378" s="91"/>
      <c r="E378" s="117"/>
      <c r="F378" s="121">
        <f>F376+F377</f>
        <v>0</v>
      </c>
    </row>
    <row r="379" spans="1:6" ht="14.7" hidden="1" customHeight="1" thickBot="1" x14ac:dyDescent="0.35">
      <c r="A379" s="96" t="s">
        <v>444</v>
      </c>
      <c r="B379" s="97" t="s">
        <v>445</v>
      </c>
      <c r="C379" s="98"/>
      <c r="D379" s="99"/>
      <c r="E379" s="100"/>
      <c r="F379" s="119">
        <f>F380</f>
        <v>13271540.289999995</v>
      </c>
    </row>
    <row r="380" spans="1:6" ht="14.7" hidden="1" customHeight="1" thickBot="1" x14ac:dyDescent="0.35">
      <c r="A380" s="69" t="s">
        <v>444</v>
      </c>
      <c r="B380" s="70" t="s">
        <v>446</v>
      </c>
      <c r="C380" s="71"/>
      <c r="D380" s="90"/>
      <c r="E380" s="72"/>
      <c r="F380" s="119">
        <f>+F251+F327+F320+F306+F280+F212+F189+F166+F143+F115+F89+F63+F37+F332+F343+F352</f>
        <v>13271540.289999995</v>
      </c>
    </row>
    <row r="381" spans="1:6" ht="14.7" hidden="1" customHeight="1" thickBot="1" x14ac:dyDescent="0.35">
      <c r="A381" s="73" t="s">
        <v>444</v>
      </c>
      <c r="B381" s="49" t="s">
        <v>447</v>
      </c>
      <c r="C381" s="50"/>
      <c r="D381" s="83"/>
      <c r="E381" s="63"/>
      <c r="F381" s="120">
        <f>ROUND(F380*21/100,2)</f>
        <v>2787023.46</v>
      </c>
    </row>
    <row r="382" spans="1:6" ht="14.7" hidden="1" customHeight="1" thickBot="1" x14ac:dyDescent="0.35">
      <c r="A382" s="74" t="s">
        <v>444</v>
      </c>
      <c r="B382" s="75" t="s">
        <v>448</v>
      </c>
      <c r="C382" s="76"/>
      <c r="D382" s="91"/>
      <c r="E382" s="117"/>
      <c r="F382" s="121">
        <f>F380+F381</f>
        <v>16058563.749999996</v>
      </c>
    </row>
    <row r="383" spans="1:6" ht="14.7" hidden="1" customHeight="1" x14ac:dyDescent="0.3">
      <c r="A383" s="29" t="s">
        <v>449</v>
      </c>
      <c r="B383" s="177"/>
      <c r="C383" s="30"/>
      <c r="D383" s="30"/>
      <c r="E383" s="134"/>
    </row>
    <row r="384" spans="1:6" ht="14.7" customHeight="1" x14ac:dyDescent="0.3">
      <c r="A384" s="29"/>
      <c r="B384" s="177"/>
      <c r="C384" s="30"/>
      <c r="D384" s="30"/>
      <c r="E384" s="134"/>
    </row>
    <row r="385" spans="1:6" x14ac:dyDescent="0.3">
      <c r="A385" s="31"/>
      <c r="B385" s="178"/>
      <c r="C385" s="31"/>
      <c r="D385" s="31"/>
      <c r="E385" s="135"/>
    </row>
    <row r="386" spans="1:6" x14ac:dyDescent="0.3">
      <c r="A386" s="30"/>
      <c r="B386" s="179" t="s">
        <v>450</v>
      </c>
      <c r="C386" s="30"/>
      <c r="D386" s="30"/>
      <c r="E386" s="134"/>
    </row>
    <row r="387" spans="1:6" x14ac:dyDescent="0.3">
      <c r="A387" s="30"/>
      <c r="B387" s="177"/>
      <c r="C387" s="30"/>
      <c r="D387" s="31"/>
      <c r="E387" s="135"/>
    </row>
    <row r="388" spans="1:6" x14ac:dyDescent="0.3">
      <c r="A388" s="30"/>
      <c r="B388" s="30"/>
      <c r="C388" s="33"/>
      <c r="D388" s="34" t="s">
        <v>451</v>
      </c>
      <c r="E388" s="136"/>
    </row>
    <row r="389" spans="1:6" x14ac:dyDescent="0.3">
      <c r="A389" s="29" t="s">
        <v>452</v>
      </c>
      <c r="B389" s="30"/>
      <c r="C389" s="30"/>
      <c r="D389" s="30"/>
      <c r="E389" s="134"/>
    </row>
    <row r="390" spans="1:6" x14ac:dyDescent="0.3">
      <c r="A390" s="31"/>
      <c r="B390" s="178"/>
      <c r="C390" s="31"/>
      <c r="D390" s="31"/>
      <c r="E390" s="135"/>
    </row>
    <row r="391" spans="1:6" x14ac:dyDescent="0.3">
      <c r="A391" s="30"/>
      <c r="B391" s="179" t="s">
        <v>450</v>
      </c>
      <c r="C391" s="30"/>
      <c r="D391" s="30"/>
      <c r="E391" s="134"/>
    </row>
    <row r="392" spans="1:6" x14ac:dyDescent="0.3">
      <c r="A392" s="30"/>
      <c r="B392" s="177"/>
      <c r="C392" s="30"/>
      <c r="D392" s="31"/>
      <c r="E392" s="135"/>
    </row>
    <row r="393" spans="1:6" x14ac:dyDescent="0.3">
      <c r="A393" s="30"/>
      <c r="B393" s="177"/>
      <c r="C393" s="33"/>
      <c r="D393" s="34" t="s">
        <v>451</v>
      </c>
      <c r="E393" s="136"/>
    </row>
    <row r="394" spans="1:6" x14ac:dyDescent="0.3">
      <c r="A394" s="29" t="s">
        <v>453</v>
      </c>
      <c r="B394" s="177"/>
      <c r="C394" s="30"/>
      <c r="D394" s="30"/>
      <c r="E394" s="134"/>
    </row>
    <row r="395" spans="1:6" x14ac:dyDescent="0.3">
      <c r="A395" s="31"/>
      <c r="B395" s="178"/>
      <c r="C395" s="31"/>
      <c r="D395" s="31"/>
      <c r="E395" s="135"/>
    </row>
    <row r="396" spans="1:6" x14ac:dyDescent="0.3">
      <c r="A396" s="30"/>
      <c r="B396" s="179" t="s">
        <v>450</v>
      </c>
      <c r="C396" s="30"/>
      <c r="D396" s="30"/>
      <c r="E396" s="134"/>
    </row>
    <row r="397" spans="1:6" x14ac:dyDescent="0.3">
      <c r="A397" s="30"/>
      <c r="B397" s="179"/>
      <c r="C397" s="30"/>
      <c r="D397" s="31"/>
      <c r="E397" s="135"/>
    </row>
    <row r="398" spans="1:6" x14ac:dyDescent="0.3">
      <c r="A398" s="30"/>
      <c r="B398" s="30"/>
      <c r="C398" s="33"/>
      <c r="D398" s="34" t="s">
        <v>451</v>
      </c>
      <c r="E398" s="136"/>
    </row>
    <row r="399" spans="1:6" hidden="1" x14ac:dyDescent="0.3"/>
    <row r="400" spans="1:6" hidden="1" x14ac:dyDescent="0.3">
      <c r="F400" s="151">
        <v>12536534.890000001</v>
      </c>
    </row>
    <row r="401" spans="5:6" hidden="1" x14ac:dyDescent="0.3">
      <c r="E401" s="150">
        <v>1.1499999999999999</v>
      </c>
      <c r="F401" s="152"/>
    </row>
    <row r="402" spans="5:6" hidden="1" x14ac:dyDescent="0.3">
      <c r="F402" s="152">
        <f>+F400-F379</f>
        <v>-735005.39999999478</v>
      </c>
    </row>
    <row r="403" spans="5:6" hidden="1" x14ac:dyDescent="0.3">
      <c r="E403" s="123">
        <f>10060101.57*(1+(20-5)/100)</f>
        <v>11569116.805499999</v>
      </c>
      <c r="F403" s="152" t="s">
        <v>454</v>
      </c>
    </row>
    <row r="404" spans="5:6" hidden="1" x14ac:dyDescent="0.3">
      <c r="E404" s="137">
        <f>+(1+(20-5)/100)</f>
        <v>1.1499999999999999</v>
      </c>
      <c r="F404" s="152" t="s">
        <v>455</v>
      </c>
    </row>
    <row r="405" spans="5:6" hidden="1" x14ac:dyDescent="0.3">
      <c r="F405" s="152"/>
    </row>
    <row r="406" spans="5:6" hidden="1" x14ac:dyDescent="0.3">
      <c r="F406" s="152"/>
    </row>
    <row r="407" spans="5:6" hidden="1" x14ac:dyDescent="0.3">
      <c r="F407" s="152"/>
    </row>
    <row r="408" spans="5:6" hidden="1" x14ac:dyDescent="0.3">
      <c r="F408" s="152"/>
    </row>
    <row r="409" spans="5:6" hidden="1" x14ac:dyDescent="0.3">
      <c r="F409" s="152"/>
    </row>
    <row r="410" spans="5:6" hidden="1" x14ac:dyDescent="0.3">
      <c r="F410" s="152"/>
    </row>
    <row r="411" spans="5:6" hidden="1" x14ac:dyDescent="0.3">
      <c r="F411" s="152"/>
    </row>
    <row r="412" spans="5:6" hidden="1" x14ac:dyDescent="0.3">
      <c r="F412" s="152"/>
    </row>
    <row r="413" spans="5:6" hidden="1" x14ac:dyDescent="0.3">
      <c r="F413" s="153">
        <f>+F379-F400</f>
        <v>735005.39999999478</v>
      </c>
    </row>
    <row r="414" spans="5:6" hidden="1" x14ac:dyDescent="0.3"/>
    <row r="415" spans="5:6" hidden="1" x14ac:dyDescent="0.3"/>
  </sheetData>
  <mergeCells count="2">
    <mergeCell ref="C1:F1"/>
    <mergeCell ref="A5:F5"/>
  </mergeCells>
  <pageMargins left="0.47244094488188981" right="0.27559055118110237" top="0.74803149606299213" bottom="0.74803149606299213" header="0.31496062992125984" footer="0.31496062992125984"/>
  <pageSetup paperSize="8" scale="39" fitToHeight="1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4CF3-3789-428C-8E8E-6DA2A46845DD}">
  <sheetPr>
    <pageSetUpPr fitToPage="1"/>
  </sheetPr>
  <dimension ref="A1:S43"/>
  <sheetViews>
    <sheetView workbookViewId="0">
      <selection activeCell="B40" sqref="B40"/>
    </sheetView>
  </sheetViews>
  <sheetFormatPr defaultRowHeight="14.4" x14ac:dyDescent="0.3"/>
  <cols>
    <col min="1" max="1" width="8.109375" customWidth="1"/>
    <col min="2" max="2" width="59.5546875" customWidth="1"/>
    <col min="3" max="3" width="22.6640625" customWidth="1"/>
    <col min="4" max="5" width="22.6640625" hidden="1" customWidth="1"/>
    <col min="6" max="7" width="19.6640625" hidden="1" customWidth="1"/>
    <col min="8" max="19" width="18.6640625" hidden="1" customWidth="1"/>
  </cols>
  <sheetData>
    <row r="1" spans="1:19" x14ac:dyDescent="0.3">
      <c r="A1" s="221" t="s">
        <v>0</v>
      </c>
      <c r="B1" s="221" t="s">
        <v>444</v>
      </c>
      <c r="C1" s="222" t="s">
        <v>1</v>
      </c>
      <c r="D1" s="223" t="s">
        <v>444</v>
      </c>
      <c r="E1" s="223" t="s">
        <v>444</v>
      </c>
      <c r="F1" s="223" t="s">
        <v>444</v>
      </c>
    </row>
    <row r="2" spans="1:19" x14ac:dyDescent="0.3">
      <c r="A2" s="221" t="s">
        <v>456</v>
      </c>
      <c r="B2" s="221" t="s">
        <v>444</v>
      </c>
      <c r="C2" s="221" t="s">
        <v>3</v>
      </c>
      <c r="D2" s="221" t="s">
        <v>444</v>
      </c>
      <c r="E2" s="221" t="s">
        <v>444</v>
      </c>
      <c r="F2" s="221" t="s">
        <v>444</v>
      </c>
    </row>
    <row r="3" spans="1:19" x14ac:dyDescent="0.3">
      <c r="A3" s="221" t="s">
        <v>4</v>
      </c>
      <c r="B3" s="221" t="s">
        <v>444</v>
      </c>
      <c r="C3" s="222" t="s">
        <v>5</v>
      </c>
      <c r="D3" s="223" t="s">
        <v>444</v>
      </c>
      <c r="E3" s="223" t="s">
        <v>444</v>
      </c>
      <c r="F3" s="223" t="s">
        <v>444</v>
      </c>
    </row>
    <row r="4" spans="1:19" x14ac:dyDescent="0.3">
      <c r="A4" s="221" t="s">
        <v>6</v>
      </c>
      <c r="B4" s="221" t="s">
        <v>444</v>
      </c>
      <c r="C4" s="222" t="s">
        <v>457</v>
      </c>
      <c r="D4" s="223" t="s">
        <v>444</v>
      </c>
      <c r="E4" s="223" t="s">
        <v>444</v>
      </c>
      <c r="F4" s="223" t="s">
        <v>444</v>
      </c>
    </row>
    <row r="5" spans="1:19" ht="18" thickBot="1" x14ac:dyDescent="0.35">
      <c r="A5" s="224" t="s">
        <v>474</v>
      </c>
      <c r="B5" s="224"/>
      <c r="C5" s="224"/>
      <c r="D5" s="21" t="s">
        <v>444</v>
      </c>
      <c r="E5" s="21" t="e">
        <f>+Aktas!#REF!</f>
        <v>#REF!</v>
      </c>
      <c r="F5" s="21" t="s">
        <v>444</v>
      </c>
      <c r="G5" s="21" t="s">
        <v>444</v>
      </c>
      <c r="H5" s="122">
        <v>44865</v>
      </c>
      <c r="I5" s="122">
        <v>44895</v>
      </c>
      <c r="J5" s="122">
        <v>45057</v>
      </c>
      <c r="K5" s="122" t="e">
        <f>+Aktas!#REF!</f>
        <v>#REF!</v>
      </c>
      <c r="L5" s="122" t="e">
        <f>+Aktas!#REF!</f>
        <v>#REF!</v>
      </c>
      <c r="M5" s="122">
        <v>45138</v>
      </c>
      <c r="N5" s="122">
        <v>45169</v>
      </c>
      <c r="O5" s="122" t="e">
        <f>+Aktas!#REF!</f>
        <v>#REF!</v>
      </c>
      <c r="P5" s="122" t="e">
        <f>+Aktas!#REF!</f>
        <v>#REF!</v>
      </c>
      <c r="Q5" s="122">
        <v>45260</v>
      </c>
      <c r="R5" s="122" t="e">
        <f>+Aktas!#REF!</f>
        <v>#REF!</v>
      </c>
      <c r="S5" s="122" t="e">
        <f>+Aktas!#REF!</f>
        <v>#REF!</v>
      </c>
    </row>
    <row r="6" spans="1:19" ht="28.2" thickBot="1" x14ac:dyDescent="0.35">
      <c r="A6" s="22" t="s">
        <v>8</v>
      </c>
      <c r="B6" s="23" t="s">
        <v>458</v>
      </c>
      <c r="C6" s="24" t="s">
        <v>459</v>
      </c>
      <c r="D6" s="25" t="s">
        <v>460</v>
      </c>
      <c r="E6" s="24" t="s">
        <v>461</v>
      </c>
      <c r="F6" s="26" t="s">
        <v>462</v>
      </c>
      <c r="G6" s="26" t="s">
        <v>463</v>
      </c>
      <c r="H6" s="26" t="s">
        <v>464</v>
      </c>
      <c r="I6" s="26" t="s">
        <v>464</v>
      </c>
      <c r="J6" s="26" t="s">
        <v>464</v>
      </c>
      <c r="K6" s="26" t="s">
        <v>464</v>
      </c>
      <c r="L6" s="26" t="s">
        <v>464</v>
      </c>
      <c r="M6" s="26" t="s">
        <v>464</v>
      </c>
      <c r="N6" s="26" t="s">
        <v>464</v>
      </c>
      <c r="O6" s="26" t="s">
        <v>464</v>
      </c>
      <c r="P6" s="26" t="s">
        <v>464</v>
      </c>
      <c r="Q6" s="26" t="s">
        <v>464</v>
      </c>
      <c r="R6" s="26" t="s">
        <v>464</v>
      </c>
      <c r="S6" s="26" t="s">
        <v>464</v>
      </c>
    </row>
    <row r="7" spans="1:19" x14ac:dyDescent="0.3">
      <c r="A7" s="37" t="s">
        <v>465</v>
      </c>
      <c r="B7" s="35" t="s">
        <v>15</v>
      </c>
      <c r="C7" s="28">
        <f>+Aktas!F37</f>
        <v>929286.7</v>
      </c>
      <c r="D7" s="28" t="e">
        <f>+Aktas!#REF!</f>
        <v>#REF!</v>
      </c>
      <c r="E7" s="28" t="e">
        <f>+Aktas!#REF!</f>
        <v>#REF!</v>
      </c>
      <c r="F7" s="38" t="e">
        <f>+Aktas!#REF!</f>
        <v>#REF!</v>
      </c>
      <c r="G7" s="38" t="e">
        <f>+Aktas!#REF!</f>
        <v>#REF!</v>
      </c>
      <c r="H7" s="38" t="e">
        <f>+Aktas!#REF!</f>
        <v>#REF!</v>
      </c>
      <c r="I7" s="38" t="e">
        <f>+Aktas!#REF!</f>
        <v>#REF!</v>
      </c>
      <c r="J7" s="38" t="e">
        <f>+Aktas!#REF!</f>
        <v>#REF!</v>
      </c>
      <c r="K7" s="38" t="e">
        <f>+Aktas!#REF!</f>
        <v>#REF!</v>
      </c>
      <c r="L7" s="38" t="e">
        <f>+Aktas!#REF!</f>
        <v>#REF!</v>
      </c>
      <c r="M7" s="38" t="e">
        <f>+Aktas!#REF!</f>
        <v>#REF!</v>
      </c>
      <c r="N7" s="38" t="e">
        <f>+Aktas!#REF!</f>
        <v>#REF!</v>
      </c>
      <c r="O7" s="38" t="e">
        <f>+Aktas!#REF!</f>
        <v>#REF!</v>
      </c>
      <c r="P7" s="38" t="e">
        <f>+Aktas!#REF!</f>
        <v>#REF!</v>
      </c>
      <c r="Q7" s="38" t="e">
        <f>+Aktas!#REF!</f>
        <v>#REF!</v>
      </c>
      <c r="R7" s="38" t="e">
        <f>+Aktas!#REF!</f>
        <v>#REF!</v>
      </c>
      <c r="S7" s="38" t="e">
        <f>+Aktas!#REF!</f>
        <v>#REF!</v>
      </c>
    </row>
    <row r="8" spans="1:19" x14ac:dyDescent="0.3">
      <c r="A8" s="37" t="s">
        <v>69</v>
      </c>
      <c r="B8" s="36" t="s">
        <v>70</v>
      </c>
      <c r="C8" s="28">
        <f>+Aktas!F63</f>
        <v>1673459.38</v>
      </c>
      <c r="D8" s="28" t="e">
        <f>+Aktas!#REF!</f>
        <v>#REF!</v>
      </c>
      <c r="E8" s="28" t="e">
        <f>+Aktas!#REF!</f>
        <v>#REF!</v>
      </c>
      <c r="F8" s="38" t="e">
        <f>+Aktas!#REF!</f>
        <v>#REF!</v>
      </c>
      <c r="G8" s="38" t="e">
        <f>+Aktas!#REF!</f>
        <v>#REF!</v>
      </c>
      <c r="H8" s="38" t="e">
        <f>+Aktas!#REF!</f>
        <v>#REF!</v>
      </c>
      <c r="I8" s="38" t="e">
        <f>+Aktas!#REF!</f>
        <v>#REF!</v>
      </c>
      <c r="J8" s="38" t="e">
        <f>+Aktas!#REF!</f>
        <v>#REF!</v>
      </c>
      <c r="K8" s="38" t="e">
        <f>+Aktas!#REF!</f>
        <v>#REF!</v>
      </c>
      <c r="L8" s="38" t="e">
        <f>+Aktas!#REF!</f>
        <v>#REF!</v>
      </c>
      <c r="M8" s="38" t="e">
        <f>+Aktas!#REF!</f>
        <v>#REF!</v>
      </c>
      <c r="N8" s="38" t="e">
        <f>+Aktas!#REF!</f>
        <v>#REF!</v>
      </c>
      <c r="O8" s="38" t="e">
        <f>+Aktas!#REF!</f>
        <v>#REF!</v>
      </c>
      <c r="P8" s="38" t="e">
        <f>+Aktas!#REF!</f>
        <v>#REF!</v>
      </c>
      <c r="Q8" s="38" t="e">
        <f>+Aktas!#REF!</f>
        <v>#REF!</v>
      </c>
      <c r="R8" s="38" t="e">
        <f>+Aktas!#REF!</f>
        <v>#REF!</v>
      </c>
      <c r="S8" s="38" t="e">
        <f>+Aktas!#REF!</f>
        <v>#REF!</v>
      </c>
    </row>
    <row r="9" spans="1:19" x14ac:dyDescent="0.3">
      <c r="A9" s="37" t="s">
        <v>119</v>
      </c>
      <c r="B9" s="36" t="s">
        <v>120</v>
      </c>
      <c r="C9" s="28">
        <f>+Aktas!F89</f>
        <v>1607312.28</v>
      </c>
      <c r="D9" s="28" t="e">
        <f>+Aktas!#REF!</f>
        <v>#REF!</v>
      </c>
      <c r="E9" s="28" t="e">
        <f>+Aktas!#REF!</f>
        <v>#REF!</v>
      </c>
      <c r="F9" s="38" t="e">
        <f>+Aktas!#REF!</f>
        <v>#REF!</v>
      </c>
      <c r="G9" s="38" t="e">
        <f>+Aktas!#REF!</f>
        <v>#REF!</v>
      </c>
      <c r="H9" s="38" t="e">
        <f>+Aktas!#REF!</f>
        <v>#REF!</v>
      </c>
      <c r="I9" s="38" t="e">
        <f>+Aktas!#REF!</f>
        <v>#REF!</v>
      </c>
      <c r="J9" s="38" t="e">
        <f>+Aktas!#REF!</f>
        <v>#REF!</v>
      </c>
      <c r="K9" s="38" t="e">
        <f>+Aktas!#REF!</f>
        <v>#REF!</v>
      </c>
      <c r="L9" s="38" t="e">
        <f>+Aktas!#REF!</f>
        <v>#REF!</v>
      </c>
      <c r="M9" s="38" t="e">
        <f>+Aktas!#REF!</f>
        <v>#REF!</v>
      </c>
      <c r="N9" s="38" t="e">
        <f>+Aktas!#REF!</f>
        <v>#REF!</v>
      </c>
      <c r="O9" s="38" t="e">
        <f>+Aktas!#REF!</f>
        <v>#REF!</v>
      </c>
      <c r="P9" s="38" t="e">
        <f>+Aktas!#REF!</f>
        <v>#REF!</v>
      </c>
      <c r="Q9" s="38" t="e">
        <f>+Aktas!#REF!</f>
        <v>#REF!</v>
      </c>
      <c r="R9" s="38" t="e">
        <f>+Aktas!#REF!</f>
        <v>#REF!</v>
      </c>
      <c r="S9" s="38" t="e">
        <f>+Aktas!#REF!</f>
        <v>#REF!</v>
      </c>
    </row>
    <row r="10" spans="1:19" x14ac:dyDescent="0.3">
      <c r="A10" s="37" t="s">
        <v>148</v>
      </c>
      <c r="B10" s="36" t="s">
        <v>149</v>
      </c>
      <c r="C10" s="28">
        <f>+Aktas!F115</f>
        <v>1617948.28</v>
      </c>
      <c r="D10" s="28" t="e">
        <f>+Aktas!#REF!</f>
        <v>#REF!</v>
      </c>
      <c r="E10" s="28" t="e">
        <f>+Aktas!#REF!</f>
        <v>#REF!</v>
      </c>
      <c r="F10" s="38" t="e">
        <f>+Aktas!#REF!</f>
        <v>#REF!</v>
      </c>
      <c r="G10" s="38" t="e">
        <f>+Aktas!#REF!</f>
        <v>#REF!</v>
      </c>
      <c r="H10" s="38" t="e">
        <f>+Aktas!#REF!</f>
        <v>#REF!</v>
      </c>
      <c r="I10" s="38" t="e">
        <f>+Aktas!#REF!</f>
        <v>#REF!</v>
      </c>
      <c r="J10" s="38" t="e">
        <f>+Aktas!#REF!</f>
        <v>#REF!</v>
      </c>
      <c r="K10" s="38" t="e">
        <f>+Aktas!#REF!</f>
        <v>#REF!</v>
      </c>
      <c r="L10" s="38" t="e">
        <f>+Aktas!#REF!</f>
        <v>#REF!</v>
      </c>
      <c r="M10" s="38" t="e">
        <f>+Aktas!#REF!</f>
        <v>#REF!</v>
      </c>
      <c r="N10" s="38" t="e">
        <f>+Aktas!#REF!</f>
        <v>#REF!</v>
      </c>
      <c r="O10" s="38" t="e">
        <f>+Aktas!#REF!</f>
        <v>#REF!</v>
      </c>
      <c r="P10" s="38" t="e">
        <f>+Aktas!#REF!</f>
        <v>#REF!</v>
      </c>
      <c r="Q10" s="38" t="e">
        <f>+Aktas!#REF!</f>
        <v>#REF!</v>
      </c>
      <c r="R10" s="38">
        <f>+Aktas!JF115</f>
        <v>0</v>
      </c>
      <c r="S10" s="38" t="e">
        <f>+Aktas!#REF!</f>
        <v>#REF!</v>
      </c>
    </row>
    <row r="11" spans="1:19" x14ac:dyDescent="0.3">
      <c r="A11" s="37" t="s">
        <v>175</v>
      </c>
      <c r="B11" s="36" t="s">
        <v>176</v>
      </c>
      <c r="C11" s="28">
        <f>+Aktas!F143</f>
        <v>570060.36999999988</v>
      </c>
      <c r="D11" s="28" t="e">
        <f>+Aktas!#REF!</f>
        <v>#REF!</v>
      </c>
      <c r="E11" s="28" t="e">
        <f>+Aktas!#REF!</f>
        <v>#REF!</v>
      </c>
      <c r="F11" s="38" t="e">
        <f>+Aktas!#REF!</f>
        <v>#REF!</v>
      </c>
      <c r="G11" s="38" t="e">
        <f>+Aktas!#REF!</f>
        <v>#REF!</v>
      </c>
      <c r="H11" s="38" t="e">
        <f>+Aktas!#REF!</f>
        <v>#REF!</v>
      </c>
      <c r="I11" s="38" t="e">
        <f>+Aktas!#REF!</f>
        <v>#REF!</v>
      </c>
      <c r="J11" s="38" t="e">
        <f>+Aktas!#REF!</f>
        <v>#REF!</v>
      </c>
      <c r="K11" s="38" t="e">
        <f>+Aktas!#REF!</f>
        <v>#REF!</v>
      </c>
      <c r="L11" s="38" t="e">
        <f>+Aktas!#REF!</f>
        <v>#REF!</v>
      </c>
      <c r="M11" s="38" t="e">
        <f>+Aktas!#REF!</f>
        <v>#REF!</v>
      </c>
      <c r="N11" s="38" t="e">
        <f>+Aktas!#REF!</f>
        <v>#REF!</v>
      </c>
      <c r="O11" s="38" t="e">
        <f>+Aktas!#REF!</f>
        <v>#REF!</v>
      </c>
      <c r="P11" s="38" t="e">
        <f>+Aktas!#REF!</f>
        <v>#REF!</v>
      </c>
      <c r="Q11" s="38" t="e">
        <f>+Aktas!#REF!</f>
        <v>#REF!</v>
      </c>
      <c r="R11" s="38" t="e">
        <f>+Aktas!#REF!</f>
        <v>#REF!</v>
      </c>
      <c r="S11" s="38" t="e">
        <f>+Aktas!#REF!</f>
        <v>#REF!</v>
      </c>
    </row>
    <row r="12" spans="1:19" ht="41.4" x14ac:dyDescent="0.3">
      <c r="A12" s="37" t="s">
        <v>214</v>
      </c>
      <c r="B12" s="36" t="s">
        <v>215</v>
      </c>
      <c r="C12" s="28">
        <f>+Aktas!F166</f>
        <v>412446.58999999997</v>
      </c>
      <c r="D12" s="28" t="e">
        <f>+Aktas!#REF!</f>
        <v>#REF!</v>
      </c>
      <c r="E12" s="28" t="e">
        <f>+Aktas!#REF!</f>
        <v>#REF!</v>
      </c>
      <c r="F12" s="38" t="e">
        <f>+Aktas!#REF!</f>
        <v>#REF!</v>
      </c>
      <c r="G12" s="38" t="e">
        <f>+Aktas!#REF!</f>
        <v>#REF!</v>
      </c>
      <c r="H12" s="38" t="e">
        <f>+Aktas!#REF!</f>
        <v>#REF!</v>
      </c>
      <c r="I12" s="38" t="e">
        <f>+Aktas!#REF!</f>
        <v>#REF!</v>
      </c>
      <c r="J12" s="38" t="e">
        <f>+Aktas!#REF!</f>
        <v>#REF!</v>
      </c>
      <c r="K12" s="38" t="e">
        <f>+Aktas!#REF!</f>
        <v>#REF!</v>
      </c>
      <c r="L12" s="38" t="e">
        <f>+Aktas!#REF!</f>
        <v>#REF!</v>
      </c>
      <c r="M12" s="38" t="e">
        <f>+Aktas!#REF!</f>
        <v>#REF!</v>
      </c>
      <c r="N12" s="38" t="e">
        <f>+Aktas!#REF!</f>
        <v>#REF!</v>
      </c>
      <c r="O12" s="38" t="e">
        <f>+Aktas!#REF!</f>
        <v>#REF!</v>
      </c>
      <c r="P12" s="38" t="e">
        <f>+Aktas!#REF!</f>
        <v>#REF!</v>
      </c>
      <c r="Q12" s="38" t="e">
        <f>+Aktas!#REF!</f>
        <v>#REF!</v>
      </c>
      <c r="R12" s="38" t="e">
        <f>+Aktas!#REF!</f>
        <v>#REF!</v>
      </c>
      <c r="S12" s="38" t="e">
        <f>+Aktas!#REF!</f>
        <v>#REF!</v>
      </c>
    </row>
    <row r="13" spans="1:19" ht="41.4" x14ac:dyDescent="0.3">
      <c r="A13" s="37" t="s">
        <v>244</v>
      </c>
      <c r="B13" s="36" t="s">
        <v>245</v>
      </c>
      <c r="C13" s="28">
        <f>+Aktas!F189</f>
        <v>410721.58999999997</v>
      </c>
      <c r="D13" s="28" t="e">
        <f>+Aktas!#REF!</f>
        <v>#REF!</v>
      </c>
      <c r="E13" s="28" t="e">
        <f>+Aktas!#REF!</f>
        <v>#REF!</v>
      </c>
      <c r="F13" s="38" t="e">
        <f>+Aktas!#REF!</f>
        <v>#REF!</v>
      </c>
      <c r="G13" s="38" t="e">
        <f>+Aktas!#REF!</f>
        <v>#REF!</v>
      </c>
      <c r="H13" s="38" t="e">
        <f>+Aktas!#REF!</f>
        <v>#REF!</v>
      </c>
      <c r="I13" s="38" t="e">
        <f>+Aktas!#REF!</f>
        <v>#REF!</v>
      </c>
      <c r="J13" s="38" t="e">
        <f>+Aktas!#REF!</f>
        <v>#REF!</v>
      </c>
      <c r="K13" s="38" t="e">
        <f>+Aktas!#REF!</f>
        <v>#REF!</v>
      </c>
      <c r="L13" s="38" t="e">
        <f>+Aktas!#REF!</f>
        <v>#REF!</v>
      </c>
      <c r="M13" s="38" t="e">
        <f>+Aktas!#REF!</f>
        <v>#REF!</v>
      </c>
      <c r="N13" s="38" t="e">
        <f>+Aktas!#REF!</f>
        <v>#REF!</v>
      </c>
      <c r="O13" s="38" t="e">
        <f>+Aktas!#REF!</f>
        <v>#REF!</v>
      </c>
      <c r="P13" s="38" t="e">
        <f>+Aktas!#REF!</f>
        <v>#REF!</v>
      </c>
      <c r="Q13" s="38" t="e">
        <f>+Aktas!#REF!</f>
        <v>#REF!</v>
      </c>
      <c r="R13" s="38" t="e">
        <f>+Aktas!#REF!</f>
        <v>#REF!</v>
      </c>
      <c r="S13" s="38" t="e">
        <f>+Aktas!#REF!</f>
        <v>#REF!</v>
      </c>
    </row>
    <row r="14" spans="1:19" ht="41.4" x14ac:dyDescent="0.3">
      <c r="A14" s="37" t="s">
        <v>267</v>
      </c>
      <c r="B14" s="36" t="s">
        <v>268</v>
      </c>
      <c r="C14" s="28">
        <f>+Aktas!F212</f>
        <v>389756.07999999996</v>
      </c>
      <c r="D14" s="28" t="e">
        <f>+Aktas!#REF!</f>
        <v>#REF!</v>
      </c>
      <c r="E14" s="28" t="e">
        <f>+Aktas!#REF!</f>
        <v>#REF!</v>
      </c>
      <c r="F14" s="38" t="e">
        <f>+Aktas!#REF!</f>
        <v>#REF!</v>
      </c>
      <c r="G14" s="38" t="e">
        <f>+Aktas!#REF!</f>
        <v>#REF!</v>
      </c>
      <c r="H14" s="38" t="e">
        <f>+Aktas!#REF!</f>
        <v>#REF!</v>
      </c>
      <c r="I14" s="38" t="e">
        <f>+Aktas!#REF!</f>
        <v>#REF!</v>
      </c>
      <c r="J14" s="38" t="e">
        <f>+Aktas!#REF!</f>
        <v>#REF!</v>
      </c>
      <c r="K14" s="38" t="e">
        <f>+Aktas!#REF!</f>
        <v>#REF!</v>
      </c>
      <c r="L14" s="38" t="e">
        <f>+Aktas!#REF!</f>
        <v>#REF!</v>
      </c>
      <c r="M14" s="38" t="e">
        <f>+Aktas!#REF!</f>
        <v>#REF!</v>
      </c>
      <c r="N14" s="38" t="e">
        <f>+Aktas!#REF!</f>
        <v>#REF!</v>
      </c>
      <c r="O14" s="38" t="e">
        <f>+Aktas!#REF!</f>
        <v>#REF!</v>
      </c>
      <c r="P14" s="38" t="e">
        <f>+Aktas!#REF!</f>
        <v>#REF!</v>
      </c>
      <c r="Q14" s="38" t="e">
        <f>+Aktas!#REF!</f>
        <v>#REF!</v>
      </c>
      <c r="R14" s="38" t="e">
        <f>+Aktas!#REF!</f>
        <v>#REF!</v>
      </c>
      <c r="S14" s="38" t="e">
        <f>+Aktas!#REF!</f>
        <v>#REF!</v>
      </c>
    </row>
    <row r="15" spans="1:19" x14ac:dyDescent="0.3">
      <c r="A15" s="37" t="s">
        <v>290</v>
      </c>
      <c r="B15" s="36" t="s">
        <v>291</v>
      </c>
      <c r="C15" s="28">
        <f>+Aktas!F251</f>
        <v>4340114.22</v>
      </c>
      <c r="D15" s="28" t="e">
        <f>+Aktas!#REF!</f>
        <v>#REF!</v>
      </c>
      <c r="E15" s="28" t="e">
        <f>+Aktas!#REF!</f>
        <v>#REF!</v>
      </c>
      <c r="F15" s="38" t="e">
        <f>+Aktas!#REF!</f>
        <v>#REF!</v>
      </c>
      <c r="G15" s="38" t="e">
        <f>+Aktas!#REF!</f>
        <v>#REF!</v>
      </c>
      <c r="H15" s="38" t="e">
        <f>+Aktas!#REF!</f>
        <v>#REF!</v>
      </c>
      <c r="I15" s="38" t="e">
        <f>+Aktas!#REF!</f>
        <v>#REF!</v>
      </c>
      <c r="J15" s="38" t="e">
        <f>+Aktas!#REF!</f>
        <v>#REF!</v>
      </c>
      <c r="K15" s="38" t="e">
        <f>+Aktas!#REF!</f>
        <v>#REF!</v>
      </c>
      <c r="L15" s="38" t="e">
        <f>+Aktas!#REF!</f>
        <v>#REF!</v>
      </c>
      <c r="M15" s="38" t="e">
        <f>+Aktas!#REF!</f>
        <v>#REF!</v>
      </c>
      <c r="N15" s="38" t="e">
        <f>+Aktas!#REF!</f>
        <v>#REF!</v>
      </c>
      <c r="O15" s="38" t="e">
        <f>+Aktas!#REF!</f>
        <v>#REF!</v>
      </c>
      <c r="P15" s="38" t="e">
        <f>+Aktas!#REF!</f>
        <v>#REF!</v>
      </c>
      <c r="Q15" s="38" t="e">
        <f>+Aktas!#REF!</f>
        <v>#REF!</v>
      </c>
      <c r="R15" s="38" t="e">
        <f>+Aktas!#REF!</f>
        <v>#REF!</v>
      </c>
      <c r="S15" s="38" t="e">
        <f>+Aktas!#REF!</f>
        <v>#REF!</v>
      </c>
    </row>
    <row r="16" spans="1:19" x14ac:dyDescent="0.3">
      <c r="A16" s="37" t="s">
        <v>350</v>
      </c>
      <c r="B16" s="36" t="s">
        <v>351</v>
      </c>
      <c r="C16" s="28">
        <f>+Aktas!F280</f>
        <v>451194.16000000003</v>
      </c>
      <c r="D16" s="28" t="e">
        <f>+Aktas!#REF!</f>
        <v>#REF!</v>
      </c>
      <c r="E16" s="28" t="e">
        <f>+Aktas!#REF!</f>
        <v>#REF!</v>
      </c>
      <c r="F16" s="38" t="e">
        <f>+Aktas!#REF!</f>
        <v>#REF!</v>
      </c>
      <c r="G16" s="38" t="e">
        <f>+Aktas!#REF!</f>
        <v>#REF!</v>
      </c>
      <c r="H16" s="38" t="e">
        <f>+Aktas!#REF!</f>
        <v>#REF!</v>
      </c>
      <c r="I16" s="38" t="e">
        <f>+Aktas!#REF!</f>
        <v>#REF!</v>
      </c>
      <c r="J16" s="38" t="e">
        <f>+Aktas!#REF!</f>
        <v>#REF!</v>
      </c>
      <c r="K16" s="38" t="e">
        <f>+Aktas!#REF!</f>
        <v>#REF!</v>
      </c>
      <c r="L16" s="38" t="e">
        <f>+Aktas!#REF!</f>
        <v>#REF!</v>
      </c>
      <c r="M16" s="38" t="e">
        <f>+Aktas!#REF!</f>
        <v>#REF!</v>
      </c>
      <c r="N16" s="38" t="e">
        <f>+Aktas!#REF!</f>
        <v>#REF!</v>
      </c>
      <c r="O16" s="38" t="e">
        <f>+Aktas!#REF!</f>
        <v>#REF!</v>
      </c>
      <c r="P16" s="38" t="e">
        <f>+Aktas!#REF!</f>
        <v>#REF!</v>
      </c>
      <c r="Q16" s="38" t="e">
        <f>+Aktas!#REF!</f>
        <v>#REF!</v>
      </c>
      <c r="R16" s="38" t="e">
        <f>+Aktas!#REF!</f>
        <v>#REF!</v>
      </c>
      <c r="S16" s="38" t="e">
        <f>+Aktas!#REF!</f>
        <v>#REF!</v>
      </c>
    </row>
    <row r="17" spans="1:19" x14ac:dyDescent="0.3">
      <c r="A17" s="37" t="s">
        <v>386</v>
      </c>
      <c r="B17" s="36" t="s">
        <v>387</v>
      </c>
      <c r="C17" s="28">
        <f>+Aktas!F306</f>
        <v>231201.22</v>
      </c>
      <c r="D17" s="28" t="e">
        <f>+Aktas!#REF!</f>
        <v>#REF!</v>
      </c>
      <c r="E17" s="28" t="e">
        <f>+Aktas!#REF!</f>
        <v>#REF!</v>
      </c>
      <c r="F17" s="38" t="e">
        <f>+Aktas!#REF!</f>
        <v>#REF!</v>
      </c>
      <c r="G17" s="38" t="e">
        <f>+Aktas!#REF!</f>
        <v>#REF!</v>
      </c>
      <c r="H17" s="38" t="e">
        <f>+Aktas!#REF!</f>
        <v>#REF!</v>
      </c>
      <c r="I17" s="38" t="e">
        <f>+Aktas!#REF!</f>
        <v>#REF!</v>
      </c>
      <c r="J17" s="38" t="e">
        <f>+Aktas!#REF!</f>
        <v>#REF!</v>
      </c>
      <c r="K17" s="38" t="e">
        <f>+Aktas!#REF!</f>
        <v>#REF!</v>
      </c>
      <c r="L17" s="38" t="e">
        <f>+Aktas!#REF!</f>
        <v>#REF!</v>
      </c>
      <c r="M17" s="38" t="e">
        <f>+Aktas!#REF!</f>
        <v>#REF!</v>
      </c>
      <c r="N17" s="38" t="e">
        <f>+Aktas!#REF!</f>
        <v>#REF!</v>
      </c>
      <c r="O17" s="38" t="e">
        <f>+Aktas!#REF!</f>
        <v>#REF!</v>
      </c>
      <c r="P17" s="38" t="e">
        <f>+Aktas!#REF!</f>
        <v>#REF!</v>
      </c>
      <c r="Q17" s="38" t="e">
        <f>+Aktas!#REF!</f>
        <v>#REF!</v>
      </c>
      <c r="R17" s="38" t="e">
        <f>+Aktas!#REF!</f>
        <v>#REF!</v>
      </c>
      <c r="S17" s="38" t="e">
        <f>+Aktas!#REF!</f>
        <v>#REF!</v>
      </c>
    </row>
    <row r="18" spans="1:19" x14ac:dyDescent="0.3">
      <c r="A18" s="37" t="s">
        <v>418</v>
      </c>
      <c r="B18" s="36" t="s">
        <v>419</v>
      </c>
      <c r="C18" s="28">
        <f>+Aktas!F320</f>
        <v>83320.95</v>
      </c>
      <c r="D18" s="28" t="e">
        <f>+Aktas!#REF!</f>
        <v>#REF!</v>
      </c>
      <c r="E18" s="28" t="e">
        <f>+Aktas!#REF!</f>
        <v>#REF!</v>
      </c>
      <c r="F18" s="38" t="e">
        <f>+Aktas!#REF!</f>
        <v>#REF!</v>
      </c>
      <c r="G18" s="38" t="e">
        <f>+Aktas!#REF!</f>
        <v>#REF!</v>
      </c>
      <c r="H18" s="38" t="e">
        <f>+Aktas!#REF!</f>
        <v>#REF!</v>
      </c>
      <c r="I18" s="38" t="e">
        <f>+Aktas!#REF!</f>
        <v>#REF!</v>
      </c>
      <c r="J18" s="38" t="e">
        <f>+Aktas!#REF!</f>
        <v>#REF!</v>
      </c>
      <c r="K18" s="38" t="e">
        <f>+Aktas!#REF!</f>
        <v>#REF!</v>
      </c>
      <c r="L18" s="38" t="e">
        <f>+Aktas!#REF!</f>
        <v>#REF!</v>
      </c>
      <c r="M18" s="38" t="e">
        <f>+Aktas!#REF!</f>
        <v>#REF!</v>
      </c>
      <c r="N18" s="38" t="e">
        <f>+Aktas!#REF!</f>
        <v>#REF!</v>
      </c>
      <c r="O18" s="38" t="e">
        <f>+Aktas!#REF!</f>
        <v>#REF!</v>
      </c>
      <c r="P18" s="38" t="e">
        <f>+Aktas!#REF!</f>
        <v>#REF!</v>
      </c>
      <c r="Q18" s="38" t="e">
        <f>+Aktas!#REF!</f>
        <v>#REF!</v>
      </c>
      <c r="R18" s="38" t="e">
        <f>+Aktas!#REF!</f>
        <v>#REF!</v>
      </c>
      <c r="S18" s="38" t="e">
        <f>+Aktas!#REF!</f>
        <v>#REF!</v>
      </c>
    </row>
    <row r="19" spans="1:19" x14ac:dyDescent="0.3">
      <c r="A19" s="37" t="s">
        <v>434</v>
      </c>
      <c r="B19" s="36" t="s">
        <v>435</v>
      </c>
      <c r="C19" s="28">
        <f>+Aktas!F327</f>
        <v>64032.89</v>
      </c>
      <c r="D19" s="28" t="e">
        <f>+Aktas!#REF!</f>
        <v>#REF!</v>
      </c>
      <c r="E19" s="28" t="e">
        <f>+Aktas!#REF!</f>
        <v>#REF!</v>
      </c>
      <c r="F19" s="38" t="e">
        <f>+Aktas!#REF!</f>
        <v>#REF!</v>
      </c>
      <c r="G19" s="38" t="e">
        <f>+Aktas!#REF!</f>
        <v>#REF!</v>
      </c>
      <c r="H19" s="38" t="e">
        <f>+Aktas!#REF!</f>
        <v>#REF!</v>
      </c>
      <c r="I19" s="38" t="e">
        <f>+Aktas!#REF!</f>
        <v>#REF!</v>
      </c>
      <c r="J19" s="38" t="e">
        <f>+Aktas!#REF!</f>
        <v>#REF!</v>
      </c>
      <c r="K19" s="38" t="e">
        <f>+Aktas!#REF!</f>
        <v>#REF!</v>
      </c>
      <c r="L19" s="38" t="e">
        <f>+Aktas!#REF!</f>
        <v>#REF!</v>
      </c>
      <c r="M19" s="38" t="e">
        <f>+Aktas!#REF!</f>
        <v>#REF!</v>
      </c>
      <c r="N19" s="38" t="e">
        <f>+Aktas!#REF!</f>
        <v>#REF!</v>
      </c>
      <c r="O19" s="38" t="e">
        <f>+Aktas!#REF!</f>
        <v>#REF!</v>
      </c>
      <c r="P19" s="38" t="e">
        <f>+Aktas!#REF!</f>
        <v>#REF!</v>
      </c>
      <c r="Q19" s="38" t="e">
        <f>+Aktas!#REF!</f>
        <v>#REF!</v>
      </c>
      <c r="R19" s="38" t="e">
        <f>+Aktas!#REF!</f>
        <v>#REF!</v>
      </c>
      <c r="S19" s="38" t="e">
        <f>+Aktas!#REF!</f>
        <v>#REF!</v>
      </c>
    </row>
    <row r="20" spans="1:19" x14ac:dyDescent="0.3">
      <c r="A20" s="37" t="s">
        <v>444</v>
      </c>
      <c r="B20" s="27" t="s">
        <v>466</v>
      </c>
      <c r="C20" s="28">
        <f>+Aktas!F379</f>
        <v>13271540.289999995</v>
      </c>
      <c r="D20" s="28" t="e">
        <f>+Aktas!#REF!</f>
        <v>#REF!</v>
      </c>
      <c r="E20" s="28" t="e">
        <f>+Aktas!#REF!</f>
        <v>#REF!</v>
      </c>
      <c r="F20" s="38" t="e">
        <f>+Aktas!#REF!</f>
        <v>#REF!</v>
      </c>
      <c r="G20" s="38" t="e">
        <f>+Aktas!#REF!</f>
        <v>#REF!</v>
      </c>
      <c r="H20" s="38" t="e">
        <f>+Aktas!#REF!</f>
        <v>#REF!</v>
      </c>
      <c r="I20" s="38" t="e">
        <f>+Aktas!#REF!</f>
        <v>#REF!</v>
      </c>
      <c r="J20" s="38" t="e">
        <f>+Aktas!#REF!</f>
        <v>#REF!</v>
      </c>
      <c r="K20" s="38" t="e">
        <f>+Aktas!#REF!</f>
        <v>#REF!</v>
      </c>
      <c r="L20" s="38" t="e">
        <f>+Aktas!#REF!</f>
        <v>#REF!</v>
      </c>
      <c r="M20" s="38" t="e">
        <f>+Aktas!#REF!</f>
        <v>#REF!</v>
      </c>
      <c r="N20" s="38" t="e">
        <f>+Aktas!#REF!</f>
        <v>#REF!</v>
      </c>
      <c r="O20" s="38" t="e">
        <f>+Aktas!#REF!</f>
        <v>#REF!</v>
      </c>
      <c r="P20" s="38" t="e">
        <f>+Aktas!#REF!</f>
        <v>#REF!</v>
      </c>
      <c r="Q20" s="38" t="e">
        <f>+Aktas!#REF!</f>
        <v>#REF!</v>
      </c>
      <c r="R20" s="38" t="e">
        <f>+Aktas!#REF!</f>
        <v>#REF!</v>
      </c>
      <c r="S20" s="38" t="e">
        <f>+Aktas!#REF!</f>
        <v>#REF!</v>
      </c>
    </row>
    <row r="21" spans="1:19" ht="15" customHeight="1" x14ac:dyDescent="0.3">
      <c r="A21" s="37" t="s">
        <v>444</v>
      </c>
      <c r="B21" s="27" t="s">
        <v>467</v>
      </c>
      <c r="C21" s="28">
        <f>[2]Sąmata!F169</f>
        <v>0</v>
      </c>
      <c r="D21" s="28"/>
      <c r="E21" s="28">
        <f>C21</f>
        <v>0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2" spans="1:19" x14ac:dyDescent="0.3">
      <c r="A22" s="37" t="s">
        <v>444</v>
      </c>
      <c r="B22" s="27" t="s">
        <v>468</v>
      </c>
      <c r="C22" s="28">
        <f>+Aktas!F380</f>
        <v>13271540.289999995</v>
      </c>
      <c r="D22" s="28" t="e">
        <f>+Aktas!#REF!</f>
        <v>#REF!</v>
      </c>
      <c r="E22" s="28" t="e">
        <f>+Aktas!#REF!</f>
        <v>#REF!</v>
      </c>
      <c r="F22" s="38" t="e">
        <f>+Aktas!#REF!</f>
        <v>#REF!</v>
      </c>
      <c r="G22" s="38" t="e">
        <f>+Aktas!#REF!</f>
        <v>#REF!</v>
      </c>
      <c r="H22" s="38" t="e">
        <f>+Aktas!#REF!</f>
        <v>#REF!</v>
      </c>
      <c r="I22" s="38" t="e">
        <f>+Aktas!#REF!</f>
        <v>#REF!</v>
      </c>
      <c r="J22" s="38" t="e">
        <f>+Aktas!#REF!</f>
        <v>#REF!</v>
      </c>
      <c r="K22" s="38" t="e">
        <f>+Aktas!#REF!</f>
        <v>#REF!</v>
      </c>
      <c r="L22" s="38" t="e">
        <f>+Aktas!#REF!</f>
        <v>#REF!</v>
      </c>
      <c r="M22" s="38" t="e">
        <f>+Aktas!#REF!</f>
        <v>#REF!</v>
      </c>
      <c r="N22" s="38" t="e">
        <f>+Aktas!#REF!</f>
        <v>#REF!</v>
      </c>
      <c r="O22" s="38" t="e">
        <f>+Aktas!#REF!</f>
        <v>#REF!</v>
      </c>
      <c r="P22" s="38" t="e">
        <f>+Aktas!#REF!</f>
        <v>#REF!</v>
      </c>
      <c r="Q22" s="38" t="e">
        <f>+Aktas!#REF!</f>
        <v>#REF!</v>
      </c>
      <c r="R22" s="38" t="e">
        <f>+Aktas!#REF!</f>
        <v>#REF!</v>
      </c>
      <c r="S22" s="38" t="e">
        <f>+Aktas!#REF!</f>
        <v>#REF!</v>
      </c>
    </row>
    <row r="23" spans="1:19" ht="15" thickBot="1" x14ac:dyDescent="0.35">
      <c r="A23" s="39" t="s">
        <v>444</v>
      </c>
      <c r="B23" s="40" t="s">
        <v>469</v>
      </c>
      <c r="C23" s="41">
        <f t="shared" ref="C23:H23" si="0">+C22/100*5</f>
        <v>663577.01449999982</v>
      </c>
      <c r="D23" s="41" t="e">
        <f t="shared" si="0"/>
        <v>#REF!</v>
      </c>
      <c r="E23" s="41" t="e">
        <f t="shared" si="0"/>
        <v>#REF!</v>
      </c>
      <c r="F23" s="42" t="e">
        <f t="shared" si="0"/>
        <v>#REF!</v>
      </c>
      <c r="G23" s="42" t="e">
        <f t="shared" si="0"/>
        <v>#REF!</v>
      </c>
      <c r="H23" s="42" t="e">
        <f t="shared" si="0"/>
        <v>#REF!</v>
      </c>
      <c r="I23" s="42" t="e">
        <f t="shared" ref="I23:N23" si="1">+I22/100*5</f>
        <v>#REF!</v>
      </c>
      <c r="J23" s="42" t="e">
        <f t="shared" si="1"/>
        <v>#REF!</v>
      </c>
      <c r="K23" s="42" t="e">
        <f t="shared" si="1"/>
        <v>#REF!</v>
      </c>
      <c r="L23" s="42" t="e">
        <f t="shared" si="1"/>
        <v>#REF!</v>
      </c>
      <c r="M23" s="42" t="e">
        <f t="shared" si="1"/>
        <v>#REF!</v>
      </c>
      <c r="N23" s="42" t="e">
        <f t="shared" si="1"/>
        <v>#REF!</v>
      </c>
      <c r="O23" s="42" t="e">
        <f t="shared" ref="O23:P23" si="2">+O22/100*5</f>
        <v>#REF!</v>
      </c>
      <c r="P23" s="42" t="e">
        <f t="shared" si="2"/>
        <v>#REF!</v>
      </c>
      <c r="Q23" s="42" t="e">
        <f t="shared" ref="Q23:R23" si="3">+Q22/100*5</f>
        <v>#REF!</v>
      </c>
      <c r="R23" s="42" t="e">
        <f t="shared" si="3"/>
        <v>#REF!</v>
      </c>
      <c r="S23" s="42" t="e">
        <f t="shared" ref="S23" si="4">+S22/100*5</f>
        <v>#REF!</v>
      </c>
    </row>
    <row r="25" spans="1:19" x14ac:dyDescent="0.3">
      <c r="A25" s="29" t="s">
        <v>449</v>
      </c>
      <c r="B25" s="30"/>
      <c r="C25" s="30"/>
      <c r="D25" s="30"/>
      <c r="E25" s="30"/>
      <c r="O25" s="166" t="e">
        <f>+O22-O23</f>
        <v>#REF!</v>
      </c>
      <c r="P25" s="166"/>
      <c r="Q25" s="166"/>
      <c r="R25" s="166"/>
      <c r="S25" s="166"/>
    </row>
    <row r="26" spans="1:19" x14ac:dyDescent="0.3">
      <c r="A26" s="31"/>
      <c r="B26" s="178"/>
      <c r="C26" s="31"/>
      <c r="D26" s="31"/>
      <c r="E26" s="31"/>
    </row>
    <row r="27" spans="1:19" x14ac:dyDescent="0.3">
      <c r="A27" s="30"/>
      <c r="B27" s="32" t="s">
        <v>450</v>
      </c>
      <c r="C27" s="30"/>
      <c r="D27" s="30"/>
      <c r="E27" s="30"/>
    </row>
    <row r="28" spans="1:19" x14ac:dyDescent="0.3">
      <c r="A28" s="30"/>
      <c r="B28" s="29"/>
      <c r="C28" s="30"/>
      <c r="D28" s="31"/>
      <c r="E28" s="31"/>
    </row>
    <row r="29" spans="1:19" x14ac:dyDescent="0.3">
      <c r="A29" s="30"/>
      <c r="B29" s="30"/>
      <c r="C29" s="33"/>
      <c r="D29" s="34" t="s">
        <v>451</v>
      </c>
      <c r="E29" s="34"/>
    </row>
    <row r="30" spans="1:19" x14ac:dyDescent="0.3">
      <c r="A30" s="30"/>
      <c r="B30" s="30"/>
      <c r="C30" s="30"/>
      <c r="D30" s="30"/>
      <c r="E30" s="30"/>
    </row>
    <row r="31" spans="1:19" x14ac:dyDescent="0.3">
      <c r="A31" s="30"/>
      <c r="B31" s="30"/>
      <c r="C31" s="30"/>
      <c r="D31" s="30"/>
      <c r="E31" s="30"/>
      <c r="F31" s="30"/>
      <c r="G31" s="30"/>
      <c r="H31" s="30"/>
      <c r="I31" s="30"/>
    </row>
    <row r="32" spans="1:19" x14ac:dyDescent="0.3">
      <c r="A32" s="29" t="s">
        <v>452</v>
      </c>
      <c r="B32" s="30"/>
      <c r="C32" s="30"/>
      <c r="D32" s="30"/>
      <c r="E32" s="30"/>
      <c r="F32" s="30"/>
      <c r="G32" s="30"/>
      <c r="H32" s="30"/>
      <c r="I32" s="30"/>
    </row>
    <row r="33" spans="1:9" x14ac:dyDescent="0.3">
      <c r="A33" s="31"/>
      <c r="B33" s="178"/>
      <c r="C33" s="31"/>
      <c r="D33" s="31"/>
      <c r="E33" s="31"/>
      <c r="F33" s="30"/>
      <c r="G33" s="30"/>
      <c r="H33" s="30"/>
      <c r="I33" s="30"/>
    </row>
    <row r="34" spans="1:9" x14ac:dyDescent="0.3">
      <c r="A34" s="30"/>
      <c r="B34" s="32" t="s">
        <v>450</v>
      </c>
      <c r="C34" s="30"/>
      <c r="D34" s="30"/>
      <c r="E34" s="30"/>
    </row>
    <row r="35" spans="1:9" x14ac:dyDescent="0.3">
      <c r="A35" s="30"/>
      <c r="B35" s="29"/>
      <c r="C35" s="30"/>
      <c r="D35" s="31"/>
      <c r="E35" s="31"/>
    </row>
    <row r="36" spans="1:9" x14ac:dyDescent="0.3">
      <c r="A36" s="30"/>
      <c r="B36" s="30"/>
      <c r="C36" s="33"/>
      <c r="D36" s="34" t="s">
        <v>451</v>
      </c>
      <c r="E36" s="34"/>
    </row>
    <row r="37" spans="1:9" x14ac:dyDescent="0.3">
      <c r="A37" s="30"/>
      <c r="B37" s="30"/>
      <c r="C37" s="30"/>
      <c r="D37" s="30"/>
      <c r="E37" s="30"/>
    </row>
    <row r="38" spans="1:9" x14ac:dyDescent="0.3">
      <c r="A38" s="30"/>
      <c r="B38" s="30"/>
      <c r="C38" s="30"/>
      <c r="D38" s="30"/>
      <c r="E38" s="30"/>
    </row>
    <row r="39" spans="1:9" x14ac:dyDescent="0.3">
      <c r="A39" s="29" t="s">
        <v>453</v>
      </c>
      <c r="B39" s="30"/>
      <c r="C39" s="30"/>
      <c r="D39" s="30"/>
      <c r="E39" s="30"/>
    </row>
    <row r="40" spans="1:9" x14ac:dyDescent="0.3">
      <c r="A40" s="31"/>
      <c r="B40" s="178"/>
      <c r="C40" s="31"/>
      <c r="D40" s="31"/>
      <c r="E40" s="31"/>
    </row>
    <row r="41" spans="1:9" x14ac:dyDescent="0.3">
      <c r="A41" s="30"/>
      <c r="B41" s="32" t="s">
        <v>450</v>
      </c>
      <c r="C41" s="30"/>
      <c r="D41" s="30"/>
      <c r="E41" s="30"/>
    </row>
    <row r="42" spans="1:9" x14ac:dyDescent="0.3">
      <c r="A42" s="30"/>
      <c r="B42" s="32"/>
      <c r="C42" s="30"/>
      <c r="D42" s="31"/>
      <c r="E42" s="31"/>
    </row>
    <row r="43" spans="1:9" x14ac:dyDescent="0.3">
      <c r="A43" s="30"/>
      <c r="B43" s="30"/>
      <c r="C43" s="33"/>
      <c r="D43" s="34" t="s">
        <v>451</v>
      </c>
      <c r="E43" s="34"/>
    </row>
  </sheetData>
  <mergeCells count="9">
    <mergeCell ref="A4:B4"/>
    <mergeCell ref="C4:F4"/>
    <mergeCell ref="A5:C5"/>
    <mergeCell ref="A1:B1"/>
    <mergeCell ref="C1:F1"/>
    <mergeCell ref="A2:B2"/>
    <mergeCell ref="C2:F2"/>
    <mergeCell ref="A3:B3"/>
    <mergeCell ref="C3:F3"/>
  </mergeCells>
  <pageMargins left="1.2598425196850394" right="0.70866141732283472" top="0.35433070866141736" bottom="0.27559055118110237" header="0.31496062992125984" footer="0.15748031496062992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202766D95376F41931437361598F7F8" ma:contentTypeVersion="18" ma:contentTypeDescription="Kurkite naują dokumentą." ma:contentTypeScope="" ma:versionID="4e04517cd136e9ce83fa63cdd398d53b">
  <xsd:schema xmlns:xsd="http://www.w3.org/2001/XMLSchema" xmlns:xs="http://www.w3.org/2001/XMLSchema" xmlns:p="http://schemas.microsoft.com/office/2006/metadata/properties" xmlns:ns2="ccee4064-d490-4771-90ab-65b9ac961528" xmlns:ns3="5bd0ed05-32b4-47cd-a93d-ad4a05d998db" targetNamespace="http://schemas.microsoft.com/office/2006/metadata/properties" ma:root="true" ma:fieldsID="c82861d1ce9d1f04ab2e8a9b1b4a7529" ns2:_="" ns3:_="">
    <xsd:import namespace="ccee4064-d490-4771-90ab-65b9ac961528"/>
    <xsd:import namespace="5bd0ed05-32b4-47cd-a93d-ad4a05d99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e4064-d490-4771-90ab-65b9ac961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050e574a-a070-4bc2-b515-7663a26206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0ed05-32b4-47cd-a93d-ad4a05d99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96f03a-6ea6-4997-aabf-3a11d63115fe}" ma:internalName="TaxCatchAll" ma:showField="CatchAllData" ma:web="5bd0ed05-32b4-47cd-a93d-ad4a05d99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d0ed05-32b4-47cd-a93d-ad4a05d998db">
      <UserInfo>
        <DisplayName/>
        <AccountId xsi:nil="true"/>
        <AccountType/>
      </UserInfo>
    </SharedWithUsers>
    <MediaLengthInSeconds xmlns="ccee4064-d490-4771-90ab-65b9ac961528" xsi:nil="true"/>
    <lcf76f155ced4ddcb4097134ff3c332f xmlns="ccee4064-d490-4771-90ab-65b9ac961528">
      <Terms xmlns="http://schemas.microsoft.com/office/infopath/2007/PartnerControls"/>
    </lcf76f155ced4ddcb4097134ff3c332f>
    <TaxCatchAll xmlns="5bd0ed05-32b4-47cd-a93d-ad4a05d998db" xsi:nil="true"/>
  </documentManagement>
</p:properties>
</file>

<file path=customXml/itemProps1.xml><?xml version="1.0" encoding="utf-8"?>
<ds:datastoreItem xmlns:ds="http://schemas.openxmlformats.org/officeDocument/2006/customXml" ds:itemID="{8967EBCB-74CE-464B-8A39-AA727B891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96616F-2542-46A5-9A2C-6FC151581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ee4064-d490-4771-90ab-65b9ac961528"/>
    <ds:schemaRef ds:uri="5bd0ed05-32b4-47cd-a93d-ad4a05d99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6D7AA5-C324-4620-8B05-98F983CCBF49}">
  <ds:schemaRefs>
    <ds:schemaRef ds:uri="http://schemas.microsoft.com/office/2006/metadata/properties"/>
    <ds:schemaRef ds:uri="http://schemas.microsoft.com/office/infopath/2007/PartnerControls"/>
    <ds:schemaRef ds:uri="5bd0ed05-32b4-47cd-a93d-ad4a05d998db"/>
    <ds:schemaRef ds:uri="ccee4064-d490-4771-90ab-65b9ac9615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Aktas</vt:lpstr>
      <vt:lpstr>Suvestinis aktas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Oksana Timofejeva</dc:creator>
  <cp:keywords/>
  <dc:description/>
  <cp:lastModifiedBy>Greta Kerienė</cp:lastModifiedBy>
  <cp:revision/>
  <cp:lastPrinted>2024-01-31T15:22:59Z</cp:lastPrinted>
  <dcterms:created xsi:type="dcterms:W3CDTF">2015-06-05T18:17:20Z</dcterms:created>
  <dcterms:modified xsi:type="dcterms:W3CDTF">2024-09-16T12:41:06Z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MediaLengthInSeconds">
    <vt:lpwstr/>
  </property>
  <property fmtid="{D5CDD505-2E9C-101B-9397-08002B2CF9AE}" pid="4" name="SharedWithUser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0x010100B202766D95376F41931437361598F7F8</vt:lpwstr>
  </property>
</Properties>
</file>