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15120" windowHeight="7770" firstSheet="1" activeTab="1"/>
  </bookViews>
  <sheets>
    <sheet name="Instruments" sheetId="1" state="hidden" r:id="rId1"/>
    <sheet name="Sheet" sheetId="6" r:id="rId2"/>
    <sheet name="Instruments v.2" sheetId="4" state="hidden" r:id="rId3"/>
    <sheet name="Sheet1" sheetId="8" r:id="rId4"/>
  </sheets>
  <calcPr calcId="145621"/>
</workbook>
</file>

<file path=xl/calcChain.xml><?xml version="1.0" encoding="utf-8"?>
<calcChain xmlns="http://schemas.openxmlformats.org/spreadsheetml/2006/main">
  <c r="G324" i="6" l="1"/>
  <c r="G50" i="6" l="1"/>
  <c r="H50" i="6" s="1"/>
  <c r="H393" i="6" l="1"/>
  <c r="G393" i="6"/>
  <c r="G391" i="6"/>
  <c r="H391" i="6" s="1"/>
  <c r="G390" i="6"/>
  <c r="H390" i="6" s="1"/>
  <c r="G389" i="6"/>
  <c r="H389" i="6" s="1"/>
  <c r="G388" i="6"/>
  <c r="H388" i="6" s="1"/>
  <c r="G387" i="6"/>
  <c r="H387" i="6" s="1"/>
  <c r="G386" i="6"/>
  <c r="H386" i="6" s="1"/>
  <c r="G385" i="6"/>
  <c r="H385" i="6" s="1"/>
  <c r="G384" i="6"/>
  <c r="H384" i="6" s="1"/>
  <c r="G383" i="6"/>
  <c r="H383" i="6" s="1"/>
  <c r="G382" i="6"/>
  <c r="H382" i="6" s="1"/>
  <c r="G381" i="6"/>
  <c r="H381" i="6" s="1"/>
  <c r="G380" i="6"/>
  <c r="G363" i="6"/>
  <c r="H363" i="6" s="1"/>
  <c r="G362" i="6"/>
  <c r="H362" i="6" s="1"/>
  <c r="G361" i="6"/>
  <c r="H361" i="6" s="1"/>
  <c r="G360" i="6"/>
  <c r="H360" i="6" s="1"/>
  <c r="G343" i="6"/>
  <c r="H343" i="6" s="1"/>
  <c r="G342" i="6"/>
  <c r="H342" i="6" s="1"/>
  <c r="H344" i="6" s="1"/>
  <c r="G326" i="6"/>
  <c r="H326" i="6" s="1"/>
  <c r="G323" i="6"/>
  <c r="G322" i="6"/>
  <c r="H322" i="6" s="1"/>
  <c r="G321" i="6"/>
  <c r="H321" i="6" s="1"/>
  <c r="G303" i="6"/>
  <c r="H303" i="6" s="1"/>
  <c r="G302" i="6"/>
  <c r="H302" i="6" s="1"/>
  <c r="G301" i="6"/>
  <c r="H301" i="6" s="1"/>
  <c r="G300" i="6"/>
  <c r="H300" i="6" s="1"/>
  <c r="G299" i="6"/>
  <c r="H299" i="6" s="1"/>
  <c r="G298" i="6"/>
  <c r="H298" i="6" s="1"/>
  <c r="G297" i="6"/>
  <c r="H297" i="6" s="1"/>
  <c r="G296" i="6"/>
  <c r="H296" i="6" s="1"/>
  <c r="G295" i="6"/>
  <c r="H295" i="6" s="1"/>
  <c r="G294" i="6"/>
  <c r="H294" i="6" s="1"/>
  <c r="G293" i="6"/>
  <c r="H293" i="6" s="1"/>
  <c r="G292" i="6"/>
  <c r="H292" i="6" s="1"/>
  <c r="G291" i="6"/>
  <c r="H291" i="6" s="1"/>
  <c r="G290" i="6"/>
  <c r="H290" i="6" s="1"/>
  <c r="G289" i="6"/>
  <c r="H289" i="6" s="1"/>
  <c r="G288" i="6"/>
  <c r="H288" i="6" s="1"/>
  <c r="G287" i="6"/>
  <c r="H287" i="6" s="1"/>
  <c r="G286" i="6"/>
  <c r="H286" i="6" s="1"/>
  <c r="G285" i="6"/>
  <c r="H285" i="6" s="1"/>
  <c r="G281" i="6"/>
  <c r="G280" i="6"/>
  <c r="G279" i="6"/>
  <c r="H279" i="6" s="1"/>
  <c r="G278" i="6"/>
  <c r="H278" i="6" s="1"/>
  <c r="G277" i="6"/>
  <c r="H277" i="6" s="1"/>
  <c r="G273" i="6"/>
  <c r="H273" i="6" s="1"/>
  <c r="G269" i="6"/>
  <c r="H269" i="6" s="1"/>
  <c r="G265" i="6"/>
  <c r="H265" i="6" s="1"/>
  <c r="G262" i="6"/>
  <c r="H262" i="6" s="1"/>
  <c r="G261" i="6"/>
  <c r="G257" i="6"/>
  <c r="H257" i="6" s="1"/>
  <c r="G253" i="6"/>
  <c r="G252" i="6"/>
  <c r="H252" i="6" s="1"/>
  <c r="G251" i="6"/>
  <c r="H251" i="6" s="1"/>
  <c r="G250" i="6"/>
  <c r="H250" i="6" s="1"/>
  <c r="G249" i="6"/>
  <c r="G245" i="6"/>
  <c r="H245" i="6" s="1"/>
  <c r="G244" i="6"/>
  <c r="G243" i="6"/>
  <c r="H243" i="6" s="1"/>
  <c r="G242" i="6"/>
  <c r="H242" i="6" s="1"/>
  <c r="G239" i="6"/>
  <c r="G238" i="6"/>
  <c r="G234" i="6"/>
  <c r="H234" i="6" s="1"/>
  <c r="G233" i="6"/>
  <c r="H233" i="6" s="1"/>
  <c r="G232" i="6"/>
  <c r="H232" i="6" s="1"/>
  <c r="G231" i="6"/>
  <c r="G230" i="6"/>
  <c r="H230" i="6" s="1"/>
  <c r="G229" i="6"/>
  <c r="G225" i="6"/>
  <c r="H225" i="6" s="1"/>
  <c r="G221" i="6"/>
  <c r="H221" i="6" s="1"/>
  <c r="G217" i="6"/>
  <c r="G213" i="6"/>
  <c r="G209" i="6"/>
  <c r="H209" i="6" s="1"/>
  <c r="G208" i="6"/>
  <c r="H208" i="6" s="1"/>
  <c r="G207" i="6"/>
  <c r="H207" i="6" s="1"/>
  <c r="G206" i="6"/>
  <c r="H206" i="6" s="1"/>
  <c r="H202" i="6"/>
  <c r="G202" i="6"/>
  <c r="G199" i="6"/>
  <c r="H199" i="6" s="1"/>
  <c r="G198" i="6"/>
  <c r="G194" i="6"/>
  <c r="H194" i="6" s="1"/>
  <c r="G190" i="6"/>
  <c r="H190" i="6" s="1"/>
  <c r="G186" i="6"/>
  <c r="G182" i="6"/>
  <c r="H182" i="6" s="1"/>
  <c r="G178" i="6"/>
  <c r="H178" i="6" s="1"/>
  <c r="G174" i="6"/>
  <c r="H174" i="6" s="1"/>
  <c r="G170" i="6"/>
  <c r="H170" i="6" s="1"/>
  <c r="G166" i="6"/>
  <c r="H166" i="6" s="1"/>
  <c r="G162" i="6"/>
  <c r="G158" i="6"/>
  <c r="H158" i="6" s="1"/>
  <c r="G154" i="6"/>
  <c r="G150" i="6"/>
  <c r="G146" i="6"/>
  <c r="H146" i="6" s="1"/>
  <c r="G142" i="6"/>
  <c r="H142" i="6" s="1"/>
  <c r="G139" i="6"/>
  <c r="H139" i="6" s="1"/>
  <c r="G138" i="6"/>
  <c r="H138" i="6" s="1"/>
  <c r="G135" i="6"/>
  <c r="H135" i="6" s="1"/>
  <c r="G134" i="6"/>
  <c r="H134" i="6" s="1"/>
  <c r="G131" i="6"/>
  <c r="G130" i="6"/>
  <c r="G129" i="6"/>
  <c r="G128" i="6"/>
  <c r="H128" i="6" s="1"/>
  <c r="G127" i="6"/>
  <c r="H127" i="6" s="1"/>
  <c r="G126" i="6"/>
  <c r="H126" i="6" s="1"/>
  <c r="G125" i="6"/>
  <c r="H125" i="6" s="1"/>
  <c r="G124" i="6"/>
  <c r="H124" i="6" s="1"/>
  <c r="G123" i="6"/>
  <c r="G122" i="6"/>
  <c r="G105" i="6"/>
  <c r="H105" i="6" s="1"/>
  <c r="G104" i="6"/>
  <c r="H104" i="6" s="1"/>
  <c r="G103" i="6"/>
  <c r="H103" i="6" s="1"/>
  <c r="G102" i="6"/>
  <c r="G101" i="6"/>
  <c r="G100" i="6"/>
  <c r="G99" i="6"/>
  <c r="H99" i="6" s="1"/>
  <c r="G98" i="6"/>
  <c r="H98" i="6" s="1"/>
  <c r="G97" i="6"/>
  <c r="H97" i="6" s="1"/>
  <c r="G96" i="6"/>
  <c r="G95" i="6"/>
  <c r="H95" i="6" s="1"/>
  <c r="G94" i="6"/>
  <c r="G93" i="6"/>
  <c r="G92" i="6"/>
  <c r="G91" i="6"/>
  <c r="H91" i="6" s="1"/>
  <c r="G90" i="6"/>
  <c r="H90" i="6" s="1"/>
  <c r="G89" i="6"/>
  <c r="H89" i="6" s="1"/>
  <c r="G88" i="6"/>
  <c r="H88" i="6" s="1"/>
  <c r="G87" i="6"/>
  <c r="H87" i="6" s="1"/>
  <c r="G86" i="6"/>
  <c r="G85" i="6"/>
  <c r="G83" i="6"/>
  <c r="G82" i="6"/>
  <c r="G80" i="6"/>
  <c r="G79" i="6"/>
  <c r="G77" i="6"/>
  <c r="G76" i="6"/>
  <c r="G75" i="6"/>
  <c r="H75" i="6" s="1"/>
  <c r="G74" i="6"/>
  <c r="H74" i="6" s="1"/>
  <c r="G73" i="6"/>
  <c r="H73" i="6" s="1"/>
  <c r="G72" i="6"/>
  <c r="H72" i="6" s="1"/>
  <c r="G71" i="6"/>
  <c r="H71" i="6" s="1"/>
  <c r="G70" i="6"/>
  <c r="H70" i="6" s="1"/>
  <c r="G69" i="6"/>
  <c r="G68" i="6"/>
  <c r="G67" i="6"/>
  <c r="H67" i="6" s="1"/>
  <c r="G66" i="6"/>
  <c r="H66" i="6" s="1"/>
  <c r="G65" i="6"/>
  <c r="H65" i="6" s="1"/>
  <c r="G64" i="6"/>
  <c r="H64" i="6" s="1"/>
  <c r="G63" i="6"/>
  <c r="H63" i="6" s="1"/>
  <c r="G62" i="6"/>
  <c r="H62" i="6" s="1"/>
  <c r="G61" i="6"/>
  <c r="G59" i="6"/>
  <c r="H59" i="6" s="1"/>
  <c r="G58" i="6"/>
  <c r="G57" i="6"/>
  <c r="G55" i="6"/>
  <c r="G54" i="6"/>
  <c r="G52" i="6"/>
  <c r="G51" i="6"/>
  <c r="G49" i="6"/>
  <c r="G48" i="6"/>
  <c r="H48" i="6" s="1"/>
  <c r="G47" i="6"/>
  <c r="H47" i="6" s="1"/>
  <c r="G46" i="6"/>
  <c r="H46" i="6" s="1"/>
  <c r="G45" i="6"/>
  <c r="H45" i="6" s="1"/>
  <c r="G44" i="6"/>
  <c r="H44" i="6" s="1"/>
  <c r="G43" i="6"/>
  <c r="H43" i="6" s="1"/>
  <c r="G41" i="6"/>
  <c r="H41" i="6" s="1"/>
  <c r="G40" i="6"/>
  <c r="H40" i="6" s="1"/>
  <c r="G39" i="6"/>
  <c r="H39" i="6" s="1"/>
  <c r="G38" i="6"/>
  <c r="H38" i="6" s="1"/>
  <c r="G37" i="6"/>
  <c r="H37" i="6" s="1"/>
  <c r="G36" i="6"/>
  <c r="H36" i="6" s="1"/>
  <c r="G35" i="6"/>
  <c r="H35" i="6" s="1"/>
  <c r="G34" i="6"/>
  <c r="H34" i="6" s="1"/>
  <c r="G33" i="6"/>
  <c r="H33" i="6" s="1"/>
  <c r="G32" i="6"/>
  <c r="H32" i="6" s="1"/>
  <c r="G31" i="6"/>
  <c r="H31" i="6" s="1"/>
  <c r="G30" i="6"/>
  <c r="H30" i="6" s="1"/>
  <c r="G29" i="6"/>
  <c r="H29" i="6" s="1"/>
  <c r="G28" i="6"/>
  <c r="H28" i="6" s="1"/>
  <c r="G27" i="6"/>
  <c r="H27" i="6" s="1"/>
  <c r="G26" i="6"/>
  <c r="H26" i="6" s="1"/>
  <c r="G25" i="6"/>
  <c r="H25" i="6" s="1"/>
  <c r="G24" i="6"/>
  <c r="G23" i="6"/>
  <c r="H23" i="6" s="1"/>
  <c r="G22" i="6"/>
  <c r="G21" i="6"/>
  <c r="H21" i="6" s="1"/>
  <c r="G20" i="6"/>
  <c r="H20" i="6" s="1"/>
  <c r="G19" i="6"/>
  <c r="H19" i="6" s="1"/>
  <c r="G18" i="6"/>
  <c r="H18" i="6" s="1"/>
  <c r="G17" i="6"/>
  <c r="H17" i="6" s="1"/>
  <c r="G16" i="6"/>
  <c r="G15" i="6"/>
  <c r="H15" i="6" s="1"/>
  <c r="G14" i="6"/>
  <c r="G13" i="6"/>
  <c r="H13" i="6" s="1"/>
  <c r="G12" i="6"/>
  <c r="H364" i="6" l="1"/>
  <c r="H324" i="6"/>
  <c r="H229" i="6"/>
  <c r="H249" i="6"/>
  <c r="H12" i="6"/>
  <c r="G106" i="6"/>
  <c r="H154" i="6"/>
  <c r="H129" i="6"/>
  <c r="H217" i="6"/>
  <c r="H238" i="6"/>
  <c r="H244" i="6"/>
  <c r="H253" i="6"/>
  <c r="H261" i="6"/>
  <c r="H100" i="6"/>
  <c r="H96" i="6"/>
  <c r="H14" i="6"/>
  <c r="H22" i="6"/>
  <c r="H92" i="6"/>
  <c r="H49" i="6"/>
  <c r="H51" i="6"/>
  <c r="H55" i="6"/>
  <c r="H57" i="6"/>
  <c r="H68" i="6"/>
  <c r="H85" i="6"/>
  <c r="H94" i="6"/>
  <c r="H130" i="6"/>
  <c r="H150" i="6"/>
  <c r="H24" i="6"/>
  <c r="H61" i="6"/>
  <c r="H76" i="6"/>
  <c r="H93" i="6"/>
  <c r="H102" i="6"/>
  <c r="H16" i="6"/>
  <c r="H52" i="6"/>
  <c r="H54" i="6"/>
  <c r="H58" i="6"/>
  <c r="H69" i="6"/>
  <c r="H80" i="6"/>
  <c r="H83" i="6"/>
  <c r="H101" i="6"/>
  <c r="H123" i="6"/>
  <c r="H162" i="6"/>
  <c r="H77" i="6"/>
  <c r="H79" i="6"/>
  <c r="H82" i="6"/>
  <c r="H86" i="6"/>
  <c r="G304" i="6"/>
  <c r="H122" i="6"/>
  <c r="H131" i="6"/>
  <c r="H186" i="6"/>
  <c r="H198" i="6"/>
  <c r="H213" i="6"/>
  <c r="H231" i="6"/>
  <c r="H239" i="6"/>
  <c r="H281" i="6"/>
  <c r="H280" i="6"/>
  <c r="G327" i="6"/>
  <c r="G364" i="6"/>
  <c r="G394" i="6"/>
  <c r="H380" i="6"/>
  <c r="H394" i="6" s="1"/>
  <c r="H323" i="6"/>
  <c r="G344" i="6"/>
  <c r="H327" i="6" l="1"/>
  <c r="H106" i="6"/>
  <c r="H304" i="6"/>
  <c r="K5" i="4"/>
  <c r="M5" i="4" s="1"/>
  <c r="U139" i="4"/>
  <c r="T139" i="4"/>
  <c r="S139" i="4"/>
  <c r="R139" i="4"/>
  <c r="T136" i="4"/>
  <c r="S136" i="4"/>
  <c r="R136" i="4"/>
  <c r="Q136" i="4"/>
  <c r="Q139" i="4"/>
  <c r="P136" i="4"/>
  <c r="Q116" i="4"/>
  <c r="R116" i="4" s="1"/>
  <c r="P116" i="4"/>
  <c r="P115" i="4"/>
  <c r="Q115" i="4" s="1"/>
  <c r="R115" i="4" s="1"/>
  <c r="P108" i="4"/>
  <c r="Q108" i="4" s="1"/>
  <c r="R108" i="4" s="1"/>
  <c r="P107" i="4"/>
  <c r="Q107" i="4" s="1"/>
  <c r="R107" i="4" s="1"/>
  <c r="P106" i="4"/>
  <c r="Q106" i="4" s="1"/>
  <c r="R106" i="4" s="1"/>
  <c r="Q105" i="4"/>
  <c r="R105" i="4" s="1"/>
  <c r="P105" i="4"/>
  <c r="P104" i="4"/>
  <c r="Q104" i="4" s="1"/>
  <c r="R104" i="4" s="1"/>
  <c r="P103" i="4"/>
  <c r="Q103" i="4" s="1"/>
  <c r="R103" i="4" s="1"/>
  <c r="P102" i="4"/>
  <c r="Q102" i="4" s="1"/>
  <c r="R102" i="4" s="1"/>
  <c r="P100" i="4"/>
  <c r="Q100" i="4" s="1"/>
  <c r="R100" i="4" s="1"/>
  <c r="P99" i="4"/>
  <c r="Q99" i="4" s="1"/>
  <c r="R99" i="4" s="1"/>
  <c r="P98" i="4"/>
  <c r="Q98" i="4" s="1"/>
  <c r="R98" i="4" s="1"/>
  <c r="Q97" i="4"/>
  <c r="R97" i="4" s="1"/>
  <c r="P97" i="4"/>
  <c r="P95" i="4"/>
  <c r="Q95" i="4" s="1"/>
  <c r="R95" i="4" s="1"/>
  <c r="P94" i="4"/>
  <c r="Q94" i="4" s="1"/>
  <c r="R94" i="4" s="1"/>
  <c r="P93" i="4"/>
  <c r="Q93" i="4" s="1"/>
  <c r="R93" i="4" s="1"/>
  <c r="Q92" i="4"/>
  <c r="R92" i="4" s="1"/>
  <c r="P92" i="4"/>
  <c r="P91" i="4"/>
  <c r="Q91" i="4" s="1"/>
  <c r="R91" i="4" s="1"/>
  <c r="P90" i="4"/>
  <c r="Q90" i="4" s="1"/>
  <c r="R90" i="4" s="1"/>
  <c r="P89" i="4"/>
  <c r="Q89" i="4" s="1"/>
  <c r="R89" i="4" s="1"/>
  <c r="P77" i="4"/>
  <c r="Q77" i="4" s="1"/>
  <c r="R77" i="4" s="1"/>
  <c r="P76" i="4"/>
  <c r="Q76" i="4" s="1"/>
  <c r="R76" i="4" s="1"/>
  <c r="P75" i="4"/>
  <c r="Q75" i="4" s="1"/>
  <c r="R75" i="4" s="1"/>
  <c r="P63" i="4"/>
  <c r="Q63" i="4" s="1"/>
  <c r="R63" i="4" s="1"/>
  <c r="Q62" i="4"/>
  <c r="R62" i="4" s="1"/>
  <c r="P62" i="4"/>
  <c r="P46" i="4"/>
  <c r="Q46" i="4" s="1"/>
  <c r="R46" i="4" s="1"/>
  <c r="P45" i="4"/>
  <c r="Q45" i="4" s="1"/>
  <c r="R45" i="4" s="1"/>
  <c r="P26" i="4"/>
  <c r="Q26" i="4" s="1"/>
  <c r="R26" i="4" s="1"/>
  <c r="P24" i="4"/>
  <c r="Q24" i="4" s="1"/>
  <c r="U140" i="4"/>
  <c r="T140" i="4"/>
  <c r="T135" i="4"/>
  <c r="S135" i="4"/>
  <c r="P131" i="4"/>
  <c r="Q131" i="4" s="1"/>
  <c r="R131" i="4" s="1"/>
  <c r="L131" i="4"/>
  <c r="K131" i="4"/>
  <c r="K130" i="4" s="1"/>
  <c r="J131" i="4"/>
  <c r="J130" i="4" s="1"/>
  <c r="I131" i="4"/>
  <c r="L130" i="4"/>
  <c r="H130" i="4"/>
  <c r="G130" i="4"/>
  <c r="P125" i="4"/>
  <c r="Q125" i="4" s="1"/>
  <c r="R125" i="4" s="1"/>
  <c r="L125" i="4"/>
  <c r="K125" i="4"/>
  <c r="M125" i="4" s="1"/>
  <c r="J125" i="4"/>
  <c r="I125" i="4"/>
  <c r="P124" i="4"/>
  <c r="Q124" i="4" s="1"/>
  <c r="R124" i="4" s="1"/>
  <c r="L124" i="4"/>
  <c r="K124" i="4"/>
  <c r="M124" i="4" s="1"/>
  <c r="J124" i="4"/>
  <c r="I124" i="4"/>
  <c r="P123" i="4"/>
  <c r="Q123" i="4" s="1"/>
  <c r="R123" i="4" s="1"/>
  <c r="L123" i="4"/>
  <c r="K123" i="4"/>
  <c r="J123" i="4"/>
  <c r="I123" i="4"/>
  <c r="P122" i="4"/>
  <c r="Q122" i="4" s="1"/>
  <c r="R122" i="4" s="1"/>
  <c r="L122" i="4"/>
  <c r="K122" i="4"/>
  <c r="M122" i="4" s="1"/>
  <c r="J122" i="4"/>
  <c r="I122" i="4"/>
  <c r="L121" i="4"/>
  <c r="H121" i="4"/>
  <c r="G121" i="4"/>
  <c r="L116" i="4"/>
  <c r="K116" i="4"/>
  <c r="M116" i="4" s="1"/>
  <c r="J116" i="4"/>
  <c r="I116" i="4"/>
  <c r="L115" i="4"/>
  <c r="K115" i="4"/>
  <c r="M115" i="4" s="1"/>
  <c r="J115" i="4"/>
  <c r="J113" i="4" s="1"/>
  <c r="I115" i="4"/>
  <c r="R114" i="4"/>
  <c r="S114" i="4" s="1"/>
  <c r="T114" i="4" s="1"/>
  <c r="Q114" i="4"/>
  <c r="P114" i="4"/>
  <c r="L114" i="4"/>
  <c r="K114" i="4"/>
  <c r="M114" i="4" s="1"/>
  <c r="J114" i="4"/>
  <c r="I114" i="4"/>
  <c r="H113" i="4"/>
  <c r="G113" i="4"/>
  <c r="L108" i="4"/>
  <c r="K108" i="4"/>
  <c r="M108" i="4" s="1"/>
  <c r="J108" i="4"/>
  <c r="I108" i="4"/>
  <c r="L107" i="4"/>
  <c r="K107" i="4"/>
  <c r="M107" i="4" s="1"/>
  <c r="J107" i="4"/>
  <c r="I107" i="4"/>
  <c r="L106" i="4"/>
  <c r="K106" i="4"/>
  <c r="M106" i="4" s="1"/>
  <c r="J106" i="4"/>
  <c r="I106" i="4"/>
  <c r="L105" i="4"/>
  <c r="K105" i="4"/>
  <c r="M105" i="4" s="1"/>
  <c r="J105" i="4"/>
  <c r="I105" i="4"/>
  <c r="L104" i="4"/>
  <c r="K104" i="4"/>
  <c r="M104" i="4" s="1"/>
  <c r="J104" i="4"/>
  <c r="I104" i="4"/>
  <c r="L103" i="4"/>
  <c r="K103" i="4"/>
  <c r="M103" i="4" s="1"/>
  <c r="J103" i="4"/>
  <c r="I103" i="4"/>
  <c r="L102" i="4"/>
  <c r="K102" i="4"/>
  <c r="M102" i="4" s="1"/>
  <c r="J102" i="4"/>
  <c r="I102" i="4"/>
  <c r="L100" i="4"/>
  <c r="K100" i="4"/>
  <c r="M100" i="4" s="1"/>
  <c r="J100" i="4"/>
  <c r="I100" i="4"/>
  <c r="L99" i="4"/>
  <c r="K99" i="4"/>
  <c r="M99" i="4" s="1"/>
  <c r="J99" i="4"/>
  <c r="I99" i="4"/>
  <c r="L98" i="4"/>
  <c r="K98" i="4"/>
  <c r="M98" i="4" s="1"/>
  <c r="J98" i="4"/>
  <c r="I98" i="4"/>
  <c r="L97" i="4"/>
  <c r="K97" i="4"/>
  <c r="M97" i="4" s="1"/>
  <c r="J97" i="4"/>
  <c r="I97" i="4"/>
  <c r="Q96" i="4"/>
  <c r="R96" i="4" s="1"/>
  <c r="S96" i="4" s="1"/>
  <c r="T96" i="4" s="1"/>
  <c r="P96" i="4"/>
  <c r="L96" i="4"/>
  <c r="K96" i="4"/>
  <c r="M96" i="4" s="1"/>
  <c r="J96" i="4"/>
  <c r="I96" i="4"/>
  <c r="L95" i="4"/>
  <c r="K95" i="4"/>
  <c r="M95" i="4" s="1"/>
  <c r="J95" i="4"/>
  <c r="I95" i="4"/>
  <c r="L94" i="4"/>
  <c r="K94" i="4"/>
  <c r="M94" i="4" s="1"/>
  <c r="J94" i="4"/>
  <c r="I94" i="4"/>
  <c r="L93" i="4"/>
  <c r="K93" i="4"/>
  <c r="M93" i="4" s="1"/>
  <c r="J93" i="4"/>
  <c r="I93" i="4"/>
  <c r="L92" i="4"/>
  <c r="K92" i="4"/>
  <c r="M92" i="4" s="1"/>
  <c r="J92" i="4"/>
  <c r="I92" i="4"/>
  <c r="L91" i="4"/>
  <c r="K91" i="4"/>
  <c r="M91" i="4" s="1"/>
  <c r="J91" i="4"/>
  <c r="I91" i="4"/>
  <c r="L90" i="4"/>
  <c r="K90" i="4"/>
  <c r="M90" i="4" s="1"/>
  <c r="J90" i="4"/>
  <c r="I90" i="4"/>
  <c r="L89" i="4"/>
  <c r="K89" i="4"/>
  <c r="M89" i="4" s="1"/>
  <c r="J89" i="4"/>
  <c r="I89" i="4"/>
  <c r="R88" i="4"/>
  <c r="S88" i="4" s="1"/>
  <c r="T88" i="4" s="1"/>
  <c r="Q88" i="4"/>
  <c r="P88" i="4"/>
  <c r="L88" i="4"/>
  <c r="K88" i="4"/>
  <c r="M88" i="4" s="1"/>
  <c r="J88" i="4"/>
  <c r="I88" i="4"/>
  <c r="J87" i="4"/>
  <c r="H87" i="4"/>
  <c r="G87" i="4"/>
  <c r="S82" i="4"/>
  <c r="T82" i="4" s="1"/>
  <c r="P82" i="4"/>
  <c r="Q82" i="4" s="1"/>
  <c r="R82" i="4" s="1"/>
  <c r="M82" i="4"/>
  <c r="L82" i="4"/>
  <c r="K82" i="4"/>
  <c r="J82" i="4"/>
  <c r="I82" i="4"/>
  <c r="Q81" i="4"/>
  <c r="R81" i="4" s="1"/>
  <c r="S81" i="4" s="1"/>
  <c r="T81" i="4" s="1"/>
  <c r="L81" i="4"/>
  <c r="P81" i="4" s="1"/>
  <c r="K81" i="4"/>
  <c r="M81" i="4" s="1"/>
  <c r="J81" i="4"/>
  <c r="I81" i="4"/>
  <c r="S80" i="4"/>
  <c r="T80" i="4" s="1"/>
  <c r="P80" i="4"/>
  <c r="Q80" i="4" s="1"/>
  <c r="R80" i="4" s="1"/>
  <c r="M80" i="4"/>
  <c r="L80" i="4"/>
  <c r="K80" i="4"/>
  <c r="J80" i="4"/>
  <c r="I80" i="4"/>
  <c r="Q79" i="4"/>
  <c r="L79" i="4"/>
  <c r="P79" i="4" s="1"/>
  <c r="K79" i="4"/>
  <c r="M79" i="4" s="1"/>
  <c r="J79" i="4"/>
  <c r="I79" i="4"/>
  <c r="L77" i="4"/>
  <c r="K77" i="4"/>
  <c r="M77" i="4" s="1"/>
  <c r="J77" i="4"/>
  <c r="I77" i="4"/>
  <c r="L76" i="4"/>
  <c r="K76" i="4"/>
  <c r="M76" i="4" s="1"/>
  <c r="J76" i="4"/>
  <c r="I76" i="4"/>
  <c r="L75" i="4"/>
  <c r="K75" i="4"/>
  <c r="M75" i="4" s="1"/>
  <c r="J75" i="4"/>
  <c r="I75" i="4"/>
  <c r="Q74" i="4"/>
  <c r="R74" i="4" s="1"/>
  <c r="S74" i="4" s="1"/>
  <c r="T74" i="4" s="1"/>
  <c r="P74" i="4"/>
  <c r="L74" i="4"/>
  <c r="L72" i="4" s="1"/>
  <c r="K74" i="4"/>
  <c r="J74" i="4"/>
  <c r="I74" i="4"/>
  <c r="P73" i="4"/>
  <c r="Q73" i="4" s="1"/>
  <c r="R73" i="4" s="1"/>
  <c r="S73" i="4" s="1"/>
  <c r="T73" i="4" s="1"/>
  <c r="L73" i="4"/>
  <c r="K73" i="4"/>
  <c r="M73" i="4" s="1"/>
  <c r="J73" i="4"/>
  <c r="J72" i="4" s="1"/>
  <c r="I73" i="4"/>
  <c r="H72" i="4"/>
  <c r="G72" i="4"/>
  <c r="L67" i="4"/>
  <c r="P67" i="4" s="1"/>
  <c r="Q67" i="4" s="1"/>
  <c r="R67" i="4" s="1"/>
  <c r="S67" i="4" s="1"/>
  <c r="T67" i="4" s="1"/>
  <c r="K67" i="4"/>
  <c r="M67" i="4" s="1"/>
  <c r="J67" i="4"/>
  <c r="I67" i="4"/>
  <c r="P66" i="4"/>
  <c r="Q66" i="4" s="1"/>
  <c r="R66" i="4" s="1"/>
  <c r="S66" i="4" s="1"/>
  <c r="T66" i="4" s="1"/>
  <c r="M66" i="4"/>
  <c r="L66" i="4"/>
  <c r="K66" i="4"/>
  <c r="J66" i="4"/>
  <c r="I66" i="4"/>
  <c r="R65" i="4"/>
  <c r="S65" i="4" s="1"/>
  <c r="T65" i="4" s="1"/>
  <c r="L65" i="4"/>
  <c r="P65" i="4" s="1"/>
  <c r="Q65" i="4" s="1"/>
  <c r="K65" i="4"/>
  <c r="M65" i="4" s="1"/>
  <c r="J65" i="4"/>
  <c r="I65" i="4"/>
  <c r="L63" i="4"/>
  <c r="K63" i="4"/>
  <c r="M63" i="4" s="1"/>
  <c r="J63" i="4"/>
  <c r="I63" i="4"/>
  <c r="L62" i="4"/>
  <c r="K62" i="4"/>
  <c r="M62" i="4" s="1"/>
  <c r="J62" i="4"/>
  <c r="I62" i="4"/>
  <c r="P61" i="4"/>
  <c r="Q61" i="4" s="1"/>
  <c r="R61" i="4" s="1"/>
  <c r="S61" i="4" s="1"/>
  <c r="T61" i="4" s="1"/>
  <c r="L61" i="4"/>
  <c r="K61" i="4"/>
  <c r="M61" i="4" s="1"/>
  <c r="J61" i="4"/>
  <c r="I61" i="4"/>
  <c r="R60" i="4"/>
  <c r="S60" i="4" s="1"/>
  <c r="T60" i="4" s="1"/>
  <c r="T133" i="4" s="1"/>
  <c r="Q60" i="4"/>
  <c r="P60" i="4"/>
  <c r="L60" i="4"/>
  <c r="K60" i="4"/>
  <c r="J60" i="4"/>
  <c r="I60" i="4"/>
  <c r="S59" i="4"/>
  <c r="T59" i="4" s="1"/>
  <c r="P59" i="4"/>
  <c r="Q59" i="4" s="1"/>
  <c r="R59" i="4" s="1"/>
  <c r="L59" i="4"/>
  <c r="K59" i="4"/>
  <c r="M59" i="4" s="1"/>
  <c r="J59" i="4"/>
  <c r="I59" i="4"/>
  <c r="L58" i="4"/>
  <c r="H58" i="4"/>
  <c r="G58" i="4"/>
  <c r="Q53" i="4"/>
  <c r="R53" i="4" s="1"/>
  <c r="S53" i="4" s="1"/>
  <c r="T53" i="4" s="1"/>
  <c r="L53" i="4"/>
  <c r="P53" i="4" s="1"/>
  <c r="K53" i="4"/>
  <c r="M53" i="4" s="1"/>
  <c r="J53" i="4"/>
  <c r="I53" i="4"/>
  <c r="S52" i="4"/>
  <c r="T52" i="4" s="1"/>
  <c r="P52" i="4"/>
  <c r="Q52" i="4" s="1"/>
  <c r="R52" i="4" s="1"/>
  <c r="M52" i="4"/>
  <c r="L52" i="4"/>
  <c r="K52" i="4"/>
  <c r="J52" i="4"/>
  <c r="I52" i="4"/>
  <c r="Q51" i="4"/>
  <c r="R51" i="4" s="1"/>
  <c r="S51" i="4" s="1"/>
  <c r="T51" i="4" s="1"/>
  <c r="L51" i="4"/>
  <c r="P51" i="4" s="1"/>
  <c r="K51" i="4"/>
  <c r="J51" i="4"/>
  <c r="I51" i="4"/>
  <c r="S50" i="4"/>
  <c r="T50" i="4" s="1"/>
  <c r="P50" i="4"/>
  <c r="Q50" i="4" s="1"/>
  <c r="R50" i="4" s="1"/>
  <c r="M50" i="4"/>
  <c r="L50" i="4"/>
  <c r="K50" i="4"/>
  <c r="J50" i="4"/>
  <c r="I50" i="4"/>
  <c r="Q48" i="4"/>
  <c r="R48" i="4" s="1"/>
  <c r="S48" i="4" s="1"/>
  <c r="T48" i="4" s="1"/>
  <c r="P48" i="4"/>
  <c r="L48" i="4"/>
  <c r="K48" i="4"/>
  <c r="M48" i="4" s="1"/>
  <c r="J48" i="4"/>
  <c r="I48" i="4"/>
  <c r="M46" i="4"/>
  <c r="K46" i="4"/>
  <c r="J46" i="4"/>
  <c r="L46" i="4" s="1"/>
  <c r="I46" i="4"/>
  <c r="M45" i="4"/>
  <c r="L45" i="4"/>
  <c r="I45" i="4"/>
  <c r="Q44" i="4"/>
  <c r="R44" i="4" s="1"/>
  <c r="S44" i="4" s="1"/>
  <c r="P44" i="4"/>
  <c r="M44" i="4"/>
  <c r="L44" i="4"/>
  <c r="I44" i="4"/>
  <c r="P43" i="4"/>
  <c r="Q43" i="4" s="1"/>
  <c r="R43" i="4" s="1"/>
  <c r="S43" i="4" s="1"/>
  <c r="S133" i="4" s="1"/>
  <c r="M43" i="4"/>
  <c r="L43" i="4"/>
  <c r="I43" i="4"/>
  <c r="J42" i="4"/>
  <c r="H42" i="4"/>
  <c r="G42" i="4"/>
  <c r="M36" i="4"/>
  <c r="I36" i="4"/>
  <c r="F36" i="4"/>
  <c r="F35" i="4"/>
  <c r="K34" i="4"/>
  <c r="M34" i="4" s="1"/>
  <c r="F34" i="4"/>
  <c r="F33" i="4"/>
  <c r="F32" i="4"/>
  <c r="K31" i="4"/>
  <c r="M31" i="4" s="1"/>
  <c r="L31" i="4"/>
  <c r="P31" i="4" s="1"/>
  <c r="Q31" i="4" s="1"/>
  <c r="R31" i="4" s="1"/>
  <c r="S31" i="4" s="1"/>
  <c r="T31" i="4" s="1"/>
  <c r="F31" i="4"/>
  <c r="L30" i="4"/>
  <c r="P30" i="4" s="1"/>
  <c r="Q30" i="4" s="1"/>
  <c r="R30" i="4" s="1"/>
  <c r="S30" i="4" s="1"/>
  <c r="T30" i="4" s="1"/>
  <c r="J30" i="4"/>
  <c r="F30" i="4"/>
  <c r="L29" i="4"/>
  <c r="P29" i="4" s="1"/>
  <c r="Q29" i="4" s="1"/>
  <c r="R29" i="4" s="1"/>
  <c r="S29" i="4" s="1"/>
  <c r="T29" i="4" s="1"/>
  <c r="K29" i="4"/>
  <c r="M29" i="4" s="1"/>
  <c r="F29" i="4"/>
  <c r="J29" i="4" s="1"/>
  <c r="F28" i="4"/>
  <c r="L26" i="4"/>
  <c r="K26" i="4"/>
  <c r="M26" i="4" s="1"/>
  <c r="J26" i="4"/>
  <c r="I26" i="4"/>
  <c r="Q25" i="4"/>
  <c r="R25" i="4" s="1"/>
  <c r="P25" i="4"/>
  <c r="L25" i="4"/>
  <c r="K25" i="4"/>
  <c r="J25" i="4"/>
  <c r="I25" i="4"/>
  <c r="L24" i="4"/>
  <c r="K24" i="4"/>
  <c r="M24" i="4" s="1"/>
  <c r="J24" i="4"/>
  <c r="I24" i="4"/>
  <c r="R23" i="4"/>
  <c r="L23" i="4"/>
  <c r="P23" i="4" s="1"/>
  <c r="Q23" i="4" s="1"/>
  <c r="K23" i="4"/>
  <c r="M23" i="4" s="1"/>
  <c r="J23" i="4"/>
  <c r="I23" i="4"/>
  <c r="P20" i="4"/>
  <c r="M20" i="4"/>
  <c r="L20" i="4"/>
  <c r="I20" i="4"/>
  <c r="P19" i="4"/>
  <c r="M19" i="4"/>
  <c r="L19" i="4"/>
  <c r="I19" i="4"/>
  <c r="P18" i="4"/>
  <c r="M18" i="4"/>
  <c r="L18" i="4"/>
  <c r="I18" i="4"/>
  <c r="P17" i="4"/>
  <c r="M17" i="4"/>
  <c r="L17" i="4"/>
  <c r="I17" i="4"/>
  <c r="P16" i="4"/>
  <c r="M16" i="4"/>
  <c r="L16" i="4"/>
  <c r="I16" i="4"/>
  <c r="P15" i="4"/>
  <c r="M15" i="4"/>
  <c r="L15" i="4"/>
  <c r="I15" i="4"/>
  <c r="P14" i="4"/>
  <c r="M14" i="4"/>
  <c r="L14" i="4"/>
  <c r="I14" i="4"/>
  <c r="P13" i="4"/>
  <c r="M13" i="4"/>
  <c r="L13" i="4"/>
  <c r="I13" i="4"/>
  <c r="P12" i="4"/>
  <c r="M12" i="4"/>
  <c r="L12" i="4"/>
  <c r="I12" i="4"/>
  <c r="P11" i="4"/>
  <c r="M11" i="4"/>
  <c r="L11" i="4"/>
  <c r="I11" i="4"/>
  <c r="P10" i="4"/>
  <c r="M10" i="4"/>
  <c r="L10" i="4"/>
  <c r="I10" i="4"/>
  <c r="P9" i="4"/>
  <c r="M9" i="4"/>
  <c r="L9" i="4"/>
  <c r="I9" i="4"/>
  <c r="P8" i="4"/>
  <c r="M8" i="4"/>
  <c r="L8" i="4"/>
  <c r="I8" i="4"/>
  <c r="P7" i="4"/>
  <c r="M7" i="4"/>
  <c r="L7" i="4"/>
  <c r="I7" i="4"/>
  <c r="P6" i="4"/>
  <c r="M6" i="4"/>
  <c r="L6" i="4"/>
  <c r="I6" i="4"/>
  <c r="K131" i="1"/>
  <c r="K130" i="1" s="1"/>
  <c r="K125" i="1"/>
  <c r="K124" i="1"/>
  <c r="K123" i="1"/>
  <c r="K122" i="1"/>
  <c r="K116" i="1"/>
  <c r="M116" i="1" s="1"/>
  <c r="K115" i="1"/>
  <c r="K114" i="1"/>
  <c r="K108" i="1"/>
  <c r="K107" i="1"/>
  <c r="K106" i="1"/>
  <c r="K105" i="1"/>
  <c r="K104" i="1"/>
  <c r="K103" i="1"/>
  <c r="K102" i="1"/>
  <c r="K100" i="1"/>
  <c r="K99" i="1"/>
  <c r="K98" i="1"/>
  <c r="K97" i="1"/>
  <c r="K96" i="1"/>
  <c r="K95" i="1"/>
  <c r="K94" i="1"/>
  <c r="K93" i="1"/>
  <c r="K92" i="1"/>
  <c r="K91" i="1"/>
  <c r="K90" i="1"/>
  <c r="K89" i="1"/>
  <c r="K88" i="1"/>
  <c r="K77" i="1"/>
  <c r="K76" i="1"/>
  <c r="K75" i="1"/>
  <c r="K74" i="1"/>
  <c r="K73" i="1"/>
  <c r="K63" i="1"/>
  <c r="K62" i="1"/>
  <c r="K61" i="1"/>
  <c r="K60" i="1"/>
  <c r="K59" i="1"/>
  <c r="K46" i="1"/>
  <c r="M45" i="1"/>
  <c r="M44" i="1"/>
  <c r="K26" i="1"/>
  <c r="K25" i="1"/>
  <c r="K24" i="1"/>
  <c r="K23" i="1"/>
  <c r="K5" i="1"/>
  <c r="Q139" i="1"/>
  <c r="P9" i="1"/>
  <c r="R141" i="1"/>
  <c r="R139" i="1"/>
  <c r="P23" i="1"/>
  <c r="Q141" i="1"/>
  <c r="Q140" i="1"/>
  <c r="P96" i="1"/>
  <c r="Q82" i="1"/>
  <c r="Q81" i="1"/>
  <c r="Q80" i="1"/>
  <c r="Q79" i="1"/>
  <c r="Q67" i="1"/>
  <c r="Q66" i="1"/>
  <c r="Q65" i="1"/>
  <c r="Q53" i="1"/>
  <c r="Q52" i="1"/>
  <c r="Q51" i="1"/>
  <c r="Q50" i="1"/>
  <c r="Q114" i="1"/>
  <c r="Q96" i="1"/>
  <c r="Q88" i="1"/>
  <c r="Q74" i="1"/>
  <c r="Q73" i="1"/>
  <c r="Q61" i="1"/>
  <c r="Q60" i="1"/>
  <c r="Q59" i="1"/>
  <c r="Q48" i="1"/>
  <c r="Q44" i="1"/>
  <c r="Q43" i="1"/>
  <c r="P131" i="1"/>
  <c r="P125" i="1"/>
  <c r="P124" i="1"/>
  <c r="P123" i="1"/>
  <c r="P122" i="1"/>
  <c r="P114" i="1"/>
  <c r="P116" i="1"/>
  <c r="P115" i="1"/>
  <c r="P108" i="1"/>
  <c r="P107" i="1"/>
  <c r="P106" i="1"/>
  <c r="P105" i="1"/>
  <c r="P104" i="1"/>
  <c r="P103" i="1"/>
  <c r="P102" i="1"/>
  <c r="P100" i="1"/>
  <c r="P99" i="1"/>
  <c r="P98" i="1"/>
  <c r="P97" i="1"/>
  <c r="P95" i="1"/>
  <c r="P94" i="1"/>
  <c r="P93" i="1"/>
  <c r="P92" i="1"/>
  <c r="P91" i="1"/>
  <c r="P90" i="1"/>
  <c r="P89" i="1"/>
  <c r="P88" i="1"/>
  <c r="P82" i="1"/>
  <c r="P81" i="1"/>
  <c r="P80" i="1"/>
  <c r="P79" i="1"/>
  <c r="P77" i="1"/>
  <c r="P76" i="1"/>
  <c r="P75" i="1"/>
  <c r="P74" i="1"/>
  <c r="P73" i="1"/>
  <c r="P67" i="1"/>
  <c r="P66" i="1"/>
  <c r="P65" i="1"/>
  <c r="P63" i="1"/>
  <c r="P62" i="1"/>
  <c r="P60" i="1"/>
  <c r="P61" i="1"/>
  <c r="P59" i="1"/>
  <c r="P53" i="1"/>
  <c r="P52" i="1"/>
  <c r="P51" i="1"/>
  <c r="P50" i="1"/>
  <c r="P48" i="1"/>
  <c r="P46" i="1"/>
  <c r="P45" i="1"/>
  <c r="P44" i="1"/>
  <c r="P43" i="1"/>
  <c r="Q25" i="1"/>
  <c r="P25" i="1"/>
  <c r="P26" i="1"/>
  <c r="P24" i="1"/>
  <c r="P20" i="1"/>
  <c r="P19" i="1"/>
  <c r="P18" i="1"/>
  <c r="P17" i="1"/>
  <c r="P16" i="1"/>
  <c r="P15" i="1"/>
  <c r="P14" i="1"/>
  <c r="P13" i="1"/>
  <c r="P12" i="1"/>
  <c r="P11" i="1"/>
  <c r="P10" i="1"/>
  <c r="P8" i="1"/>
  <c r="P7" i="1"/>
  <c r="P6" i="1"/>
  <c r="M5" i="1"/>
  <c r="M46" i="1"/>
  <c r="J46" i="1"/>
  <c r="L46" i="1" s="1"/>
  <c r="I46" i="1"/>
  <c r="L45" i="1"/>
  <c r="L44" i="1"/>
  <c r="M43" i="1"/>
  <c r="L43" i="1"/>
  <c r="L58" i="1"/>
  <c r="L72" i="1"/>
  <c r="L87" i="1"/>
  <c r="L113" i="1"/>
  <c r="L131" i="1"/>
  <c r="L130" i="1" s="1"/>
  <c r="L125" i="1"/>
  <c r="L124" i="1"/>
  <c r="L123" i="1"/>
  <c r="L122" i="1"/>
  <c r="L121" i="1" s="1"/>
  <c r="L116" i="1"/>
  <c r="L115" i="1"/>
  <c r="L114" i="1"/>
  <c r="L108" i="1"/>
  <c r="L107" i="1"/>
  <c r="L106" i="1"/>
  <c r="L105" i="1"/>
  <c r="L104" i="1"/>
  <c r="L103" i="1"/>
  <c r="L102" i="1"/>
  <c r="L100" i="1"/>
  <c r="L99" i="1"/>
  <c r="L98" i="1"/>
  <c r="L97" i="1"/>
  <c r="L96" i="1"/>
  <c r="L95" i="1"/>
  <c r="L94" i="1"/>
  <c r="L93" i="1"/>
  <c r="L92" i="1"/>
  <c r="L91" i="1"/>
  <c r="L90" i="1"/>
  <c r="L89" i="1"/>
  <c r="L88" i="1"/>
  <c r="L82" i="1"/>
  <c r="L81" i="1"/>
  <c r="L80" i="1"/>
  <c r="L79" i="1"/>
  <c r="L77" i="1"/>
  <c r="L76" i="1"/>
  <c r="L75" i="1"/>
  <c r="L74" i="1"/>
  <c r="L73" i="1"/>
  <c r="L67" i="1"/>
  <c r="L66" i="1"/>
  <c r="L65" i="1"/>
  <c r="L63" i="1"/>
  <c r="L62" i="1"/>
  <c r="L61" i="1"/>
  <c r="L60" i="1"/>
  <c r="L59" i="1"/>
  <c r="L53" i="1"/>
  <c r="L52" i="1"/>
  <c r="L51" i="1"/>
  <c r="L50" i="1"/>
  <c r="L48" i="1"/>
  <c r="M36" i="1"/>
  <c r="M20" i="1"/>
  <c r="M19" i="1"/>
  <c r="M18" i="1"/>
  <c r="M17" i="1"/>
  <c r="M16" i="1"/>
  <c r="M15" i="1"/>
  <c r="M14" i="1"/>
  <c r="M13" i="1"/>
  <c r="M12" i="1"/>
  <c r="M11" i="1"/>
  <c r="M10" i="1"/>
  <c r="M9" i="1"/>
  <c r="M8" i="1"/>
  <c r="M7" i="1"/>
  <c r="M6" i="1"/>
  <c r="L20" i="1"/>
  <c r="L19" i="1"/>
  <c r="L18" i="1"/>
  <c r="L17" i="1"/>
  <c r="L16" i="1"/>
  <c r="L15" i="1"/>
  <c r="L14" i="1"/>
  <c r="L13" i="1"/>
  <c r="L12" i="1"/>
  <c r="L11" i="1"/>
  <c r="L10" i="1"/>
  <c r="L9" i="1"/>
  <c r="L8" i="1"/>
  <c r="L7" i="1"/>
  <c r="L6" i="1"/>
  <c r="L23" i="1"/>
  <c r="L24" i="1"/>
  <c r="L25" i="1"/>
  <c r="L26" i="1"/>
  <c r="J116" i="1"/>
  <c r="I116" i="1"/>
  <c r="H130" i="1"/>
  <c r="G130" i="1"/>
  <c r="H121" i="1"/>
  <c r="G121" i="1"/>
  <c r="H113" i="1"/>
  <c r="G113" i="1"/>
  <c r="H87" i="1"/>
  <c r="G87" i="1"/>
  <c r="H72" i="1"/>
  <c r="G72" i="1"/>
  <c r="H58" i="1"/>
  <c r="G58" i="1"/>
  <c r="H42" i="1"/>
  <c r="G42" i="1"/>
  <c r="K121" i="4" l="1"/>
  <c r="M131" i="4"/>
  <c r="M130" i="4" s="1"/>
  <c r="N130" i="4" s="1"/>
  <c r="O130" i="4" s="1"/>
  <c r="M123" i="4"/>
  <c r="M113" i="4"/>
  <c r="N113" i="4" s="1"/>
  <c r="O113" i="4" s="1"/>
  <c r="R24" i="4"/>
  <c r="R135" i="4" s="1"/>
  <c r="Q135" i="4"/>
  <c r="J33" i="4"/>
  <c r="L33" i="4"/>
  <c r="P33" i="4" s="1"/>
  <c r="Q33" i="4" s="1"/>
  <c r="R33" i="4" s="1"/>
  <c r="S33" i="4" s="1"/>
  <c r="T33" i="4" s="1"/>
  <c r="K58" i="4"/>
  <c r="M60" i="4"/>
  <c r="M58" i="4" s="1"/>
  <c r="N58" i="4" s="1"/>
  <c r="O58" i="4" s="1"/>
  <c r="R133" i="4"/>
  <c r="M25" i="4"/>
  <c r="J31" i="4"/>
  <c r="I33" i="4"/>
  <c r="K33" i="4"/>
  <c r="M33" i="4" s="1"/>
  <c r="L36" i="4"/>
  <c r="P36" i="4" s="1"/>
  <c r="Q36" i="4" s="1"/>
  <c r="R36" i="4" s="1"/>
  <c r="S36" i="4" s="1"/>
  <c r="T36" i="4" s="1"/>
  <c r="J36" i="4"/>
  <c r="M51" i="4"/>
  <c r="M42" i="4" s="1"/>
  <c r="N42" i="4" s="1"/>
  <c r="O42" i="4" s="1"/>
  <c r="K42" i="4"/>
  <c r="M121" i="4"/>
  <c r="N121" i="4" s="1"/>
  <c r="O121" i="4" s="1"/>
  <c r="I30" i="4"/>
  <c r="P133" i="4"/>
  <c r="V139" i="4" s="1"/>
  <c r="Q133" i="4"/>
  <c r="I29" i="4"/>
  <c r="K30" i="4"/>
  <c r="M30" i="4" s="1"/>
  <c r="I31" i="4"/>
  <c r="P135" i="4"/>
  <c r="V140" i="4" s="1"/>
  <c r="L42" i="4"/>
  <c r="I34" i="4"/>
  <c r="M87" i="4"/>
  <c r="N87" i="4" s="1"/>
  <c r="O87" i="4" s="1"/>
  <c r="J58" i="4"/>
  <c r="R79" i="4"/>
  <c r="L87" i="4"/>
  <c r="L113" i="4"/>
  <c r="J121" i="4"/>
  <c r="K72" i="4"/>
  <c r="M74" i="4"/>
  <c r="M72" i="4" s="1"/>
  <c r="N72" i="4" s="1"/>
  <c r="O72" i="4" s="1"/>
  <c r="K87" i="4"/>
  <c r="K113" i="4"/>
  <c r="Q23" i="1"/>
  <c r="L42" i="1"/>
  <c r="M131" i="1"/>
  <c r="M130" i="1" s="1"/>
  <c r="N130" i="1" s="1"/>
  <c r="O130" i="1" s="1"/>
  <c r="M125" i="1"/>
  <c r="M124" i="1"/>
  <c r="M123" i="1"/>
  <c r="M122" i="1"/>
  <c r="M115" i="1"/>
  <c r="M108" i="1"/>
  <c r="M107" i="1"/>
  <c r="M106" i="1"/>
  <c r="M105" i="1"/>
  <c r="M104" i="1"/>
  <c r="M103" i="1"/>
  <c r="M102" i="1"/>
  <c r="M100" i="1"/>
  <c r="M99" i="1"/>
  <c r="M98" i="1"/>
  <c r="M97" i="1"/>
  <c r="M96" i="1"/>
  <c r="M95" i="1"/>
  <c r="M94" i="1"/>
  <c r="M93" i="1"/>
  <c r="M92" i="1"/>
  <c r="M91" i="1"/>
  <c r="M90" i="1"/>
  <c r="M89" i="1"/>
  <c r="M88" i="1"/>
  <c r="K82" i="1"/>
  <c r="M82" i="1" s="1"/>
  <c r="K81" i="1"/>
  <c r="M81" i="1" s="1"/>
  <c r="K80" i="1"/>
  <c r="M80" i="1" s="1"/>
  <c r="K79" i="1"/>
  <c r="M79" i="1" s="1"/>
  <c r="M77" i="1"/>
  <c r="M76" i="1"/>
  <c r="M75" i="1"/>
  <c r="M74" i="1"/>
  <c r="M73" i="1"/>
  <c r="K67" i="1"/>
  <c r="M67" i="1" s="1"/>
  <c r="K66" i="1"/>
  <c r="M66" i="1" s="1"/>
  <c r="K65" i="1"/>
  <c r="M65" i="1" s="1"/>
  <c r="M63" i="1"/>
  <c r="M62" i="1"/>
  <c r="M61" i="1"/>
  <c r="M60" i="1"/>
  <c r="M59" i="1"/>
  <c r="K48" i="1"/>
  <c r="M48" i="1" s="1"/>
  <c r="M42" i="1" s="1"/>
  <c r="N42" i="1" s="1"/>
  <c r="O42" i="1" s="1"/>
  <c r="K53" i="1"/>
  <c r="M53" i="1" s="1"/>
  <c r="K52" i="1"/>
  <c r="M52" i="1" s="1"/>
  <c r="K51" i="1"/>
  <c r="M51" i="1" s="1"/>
  <c r="K50" i="1"/>
  <c r="M50" i="1" s="1"/>
  <c r="F36" i="1"/>
  <c r="F35" i="1"/>
  <c r="K35" i="1" s="1"/>
  <c r="M35" i="1" s="1"/>
  <c r="F34" i="1"/>
  <c r="F33" i="1"/>
  <c r="F32" i="1"/>
  <c r="F31" i="1"/>
  <c r="F30" i="1"/>
  <c r="F29" i="1"/>
  <c r="F28" i="1"/>
  <c r="L34" i="1"/>
  <c r="P34" i="1" s="1"/>
  <c r="Q34" i="1" s="1"/>
  <c r="M26" i="1"/>
  <c r="M24" i="1"/>
  <c r="M23" i="1"/>
  <c r="J99" i="1"/>
  <c r="I99" i="1"/>
  <c r="J131" i="1"/>
  <c r="J130" i="1" s="1"/>
  <c r="J125" i="1"/>
  <c r="J124" i="1"/>
  <c r="J123" i="1"/>
  <c r="J122" i="1"/>
  <c r="J115" i="1"/>
  <c r="J114" i="1"/>
  <c r="J108" i="1"/>
  <c r="J107" i="1"/>
  <c r="J106" i="1"/>
  <c r="J105" i="1"/>
  <c r="J104" i="1"/>
  <c r="J103" i="1"/>
  <c r="J102" i="1"/>
  <c r="J100" i="1"/>
  <c r="J98" i="1"/>
  <c r="J97" i="1"/>
  <c r="J96" i="1"/>
  <c r="J95" i="1"/>
  <c r="J94" i="1"/>
  <c r="J93" i="1"/>
  <c r="J92" i="1"/>
  <c r="J91" i="1"/>
  <c r="J90" i="1"/>
  <c r="J89" i="1"/>
  <c r="J88" i="1"/>
  <c r="J82" i="1"/>
  <c r="J81" i="1"/>
  <c r="J80" i="1"/>
  <c r="J79" i="1"/>
  <c r="J77" i="1"/>
  <c r="J76" i="1"/>
  <c r="J75" i="1"/>
  <c r="J74" i="1"/>
  <c r="J73" i="1"/>
  <c r="J67" i="1"/>
  <c r="J66" i="1"/>
  <c r="J65" i="1"/>
  <c r="J63" i="1"/>
  <c r="J62" i="1"/>
  <c r="J61" i="1"/>
  <c r="J60" i="1"/>
  <c r="J59" i="1"/>
  <c r="J53" i="1"/>
  <c r="J52" i="1"/>
  <c r="J51" i="1"/>
  <c r="J50" i="1"/>
  <c r="J48" i="1"/>
  <c r="J26" i="1"/>
  <c r="J25" i="1"/>
  <c r="J24" i="1"/>
  <c r="J23" i="1"/>
  <c r="S79" i="4" l="1"/>
  <c r="L32" i="4"/>
  <c r="P32" i="4" s="1"/>
  <c r="Q32" i="4" s="1"/>
  <c r="R32" i="4" s="1"/>
  <c r="S32" i="4" s="1"/>
  <c r="T32" i="4" s="1"/>
  <c r="J32" i="4"/>
  <c r="K32" i="4"/>
  <c r="M32" i="4" s="1"/>
  <c r="I32" i="4"/>
  <c r="K35" i="4"/>
  <c r="M35" i="4" s="1"/>
  <c r="I35" i="4"/>
  <c r="L28" i="4"/>
  <c r="G4" i="4"/>
  <c r="J28" i="4"/>
  <c r="K28" i="4"/>
  <c r="I28" i="4"/>
  <c r="H4" i="4"/>
  <c r="L34" i="4"/>
  <c r="P34" i="4" s="1"/>
  <c r="Q34" i="4" s="1"/>
  <c r="R34" i="4" s="1"/>
  <c r="S34" i="4" s="1"/>
  <c r="T34" i="4" s="1"/>
  <c r="J34" i="4"/>
  <c r="L35" i="4"/>
  <c r="P35" i="4" s="1"/>
  <c r="Q35" i="4" s="1"/>
  <c r="R35" i="4" s="1"/>
  <c r="S35" i="4" s="1"/>
  <c r="T35" i="4" s="1"/>
  <c r="J35" i="4"/>
  <c r="M121" i="1"/>
  <c r="N121" i="1" s="1"/>
  <c r="O121" i="1" s="1"/>
  <c r="M87" i="1"/>
  <c r="N87" i="1" s="1"/>
  <c r="O87" i="1" s="1"/>
  <c r="K113" i="1"/>
  <c r="M114" i="1"/>
  <c r="M113" i="1" s="1"/>
  <c r="N113" i="1" s="1"/>
  <c r="O113" i="1" s="1"/>
  <c r="M58" i="1"/>
  <c r="N58" i="1" s="1"/>
  <c r="O58" i="1" s="1"/>
  <c r="M72" i="1"/>
  <c r="N72" i="1" s="1"/>
  <c r="O72" i="1" s="1"/>
  <c r="K32" i="1"/>
  <c r="M32" i="1" s="1"/>
  <c r="K30" i="1"/>
  <c r="M30" i="1" s="1"/>
  <c r="K34" i="1"/>
  <c r="M34" i="1" s="1"/>
  <c r="J121" i="1"/>
  <c r="J113" i="1"/>
  <c r="K87" i="1"/>
  <c r="J72" i="1"/>
  <c r="K72" i="1"/>
  <c r="K121" i="1"/>
  <c r="J87" i="1"/>
  <c r="J42" i="1"/>
  <c r="K42" i="1"/>
  <c r="J58" i="1"/>
  <c r="K58" i="1"/>
  <c r="K31" i="1"/>
  <c r="M31" i="1" s="1"/>
  <c r="L28" i="1"/>
  <c r="P28" i="1" s="1"/>
  <c r="K29" i="1"/>
  <c r="M29" i="1" s="1"/>
  <c r="K33" i="1"/>
  <c r="M33" i="1" s="1"/>
  <c r="J35" i="1"/>
  <c r="J34" i="1"/>
  <c r="I131" i="1"/>
  <c r="I125" i="1"/>
  <c r="I124" i="1"/>
  <c r="I123" i="1"/>
  <c r="I122" i="1"/>
  <c r="I115" i="1"/>
  <c r="I114" i="1"/>
  <c r="I108" i="1"/>
  <c r="I107" i="1"/>
  <c r="I106" i="1"/>
  <c r="I105" i="1"/>
  <c r="I104" i="1"/>
  <c r="I103" i="1"/>
  <c r="I102" i="1"/>
  <c r="I100" i="1"/>
  <c r="I98" i="1"/>
  <c r="I97" i="1"/>
  <c r="I96" i="1"/>
  <c r="I95" i="1"/>
  <c r="I94" i="1"/>
  <c r="I93" i="1"/>
  <c r="I92" i="1"/>
  <c r="I91" i="1"/>
  <c r="I90" i="1"/>
  <c r="I89" i="1"/>
  <c r="I88" i="1"/>
  <c r="I82" i="1"/>
  <c r="I81" i="1"/>
  <c r="I80" i="1"/>
  <c r="I79" i="1"/>
  <c r="I77" i="1"/>
  <c r="I76" i="1"/>
  <c r="I75" i="1"/>
  <c r="I74" i="1"/>
  <c r="I73" i="1"/>
  <c r="I67" i="1"/>
  <c r="I66" i="1"/>
  <c r="I65" i="1"/>
  <c r="I63" i="1"/>
  <c r="I62" i="1"/>
  <c r="I61" i="1"/>
  <c r="I60" i="1"/>
  <c r="I59" i="1"/>
  <c r="I53" i="1"/>
  <c r="I52" i="1"/>
  <c r="I51" i="1"/>
  <c r="I50" i="1"/>
  <c r="I48" i="1"/>
  <c r="I45" i="1"/>
  <c r="I44" i="1"/>
  <c r="I43" i="1"/>
  <c r="I26" i="1"/>
  <c r="I25" i="1"/>
  <c r="I24" i="1"/>
  <c r="I23" i="1"/>
  <c r="I20" i="1"/>
  <c r="I19" i="1"/>
  <c r="I18" i="1"/>
  <c r="I17" i="1"/>
  <c r="I16" i="1"/>
  <c r="I15" i="1"/>
  <c r="I14" i="1"/>
  <c r="I13" i="1"/>
  <c r="I12" i="1"/>
  <c r="I11" i="1"/>
  <c r="I10" i="1"/>
  <c r="I9" i="1"/>
  <c r="I8" i="1"/>
  <c r="I7" i="1"/>
  <c r="I6" i="1"/>
  <c r="M28" i="4" l="1"/>
  <c r="M4" i="4" s="1"/>
  <c r="N4" i="4" s="1"/>
  <c r="O4" i="4" s="1"/>
  <c r="K4" i="4"/>
  <c r="J4" i="4"/>
  <c r="P28" i="4"/>
  <c r="L4" i="4"/>
  <c r="T79" i="4"/>
  <c r="Q28" i="1"/>
  <c r="J33" i="1"/>
  <c r="L33" i="1"/>
  <c r="P33" i="1" s="1"/>
  <c r="Q33" i="1" s="1"/>
  <c r="J31" i="1"/>
  <c r="L31" i="1"/>
  <c r="P31" i="1" s="1"/>
  <c r="Q31" i="1" s="1"/>
  <c r="J30" i="1"/>
  <c r="L30" i="1"/>
  <c r="P30" i="1" s="1"/>
  <c r="Q30" i="1" s="1"/>
  <c r="J29" i="1"/>
  <c r="L29" i="1"/>
  <c r="I35" i="1"/>
  <c r="L35" i="1"/>
  <c r="P35" i="1" s="1"/>
  <c r="Q35" i="1" s="1"/>
  <c r="I36" i="1"/>
  <c r="L36" i="1"/>
  <c r="P36" i="1" s="1"/>
  <c r="Q36" i="1" s="1"/>
  <c r="J32" i="1"/>
  <c r="L32" i="1"/>
  <c r="P32" i="1" s="1"/>
  <c r="Q32" i="1" s="1"/>
  <c r="I34" i="1"/>
  <c r="H4" i="1"/>
  <c r="G4" i="1"/>
  <c r="J36" i="1"/>
  <c r="J28" i="1"/>
  <c r="K28" i="1"/>
  <c r="K4" i="1" s="1"/>
  <c r="M25" i="1" s="1"/>
  <c r="I28" i="1"/>
  <c r="I30" i="1"/>
  <c r="I31" i="1"/>
  <c r="I32" i="1"/>
  <c r="I29" i="1"/>
  <c r="I33" i="1"/>
  <c r="Q28" i="4" l="1"/>
  <c r="P134" i="4"/>
  <c r="Q141" i="4" s="1"/>
  <c r="O132" i="4"/>
  <c r="Q138" i="4"/>
  <c r="L4" i="1"/>
  <c r="P29" i="1"/>
  <c r="M28" i="1"/>
  <c r="M4" i="1" s="1"/>
  <c r="N4" i="1" s="1"/>
  <c r="O4" i="1" s="1"/>
  <c r="Q138" i="1" s="1"/>
  <c r="J4" i="1"/>
  <c r="Q142" i="4" l="1"/>
  <c r="Q143" i="4" s="1"/>
  <c r="R138" i="4"/>
  <c r="R28" i="4"/>
  <c r="Q134" i="4"/>
  <c r="R141" i="4" s="1"/>
  <c r="R138" i="1"/>
  <c r="R142" i="1" s="1"/>
  <c r="R143" i="1" s="1"/>
  <c r="Q142" i="1"/>
  <c r="Q143" i="1" s="1"/>
  <c r="Q29" i="1"/>
  <c r="Q133" i="1" s="1"/>
  <c r="P133" i="1"/>
  <c r="S28" i="4" l="1"/>
  <c r="R134" i="4"/>
  <c r="S141" i="4" s="1"/>
  <c r="S138" i="4"/>
  <c r="R142" i="4"/>
  <c r="R143" i="4" s="1"/>
  <c r="V141" i="4" l="1"/>
  <c r="T28" i="4"/>
  <c r="T134" i="4" s="1"/>
  <c r="U141" i="4" s="1"/>
  <c r="S134" i="4"/>
  <c r="T141" i="4" s="1"/>
  <c r="T138" i="4"/>
  <c r="S142" i="4"/>
  <c r="S143" i="4" s="1"/>
  <c r="T142" i="4" l="1"/>
  <c r="T143" i="4" s="1"/>
  <c r="U138" i="4"/>
  <c r="U142" i="4" s="1"/>
  <c r="U143" i="4" s="1"/>
  <c r="V138" i="4" l="1"/>
  <c r="V142" i="4" s="1"/>
  <c r="V143" i="4" s="1"/>
</calcChain>
</file>

<file path=xl/comments1.xml><?xml version="1.0" encoding="utf-8"?>
<comments xmlns="http://schemas.openxmlformats.org/spreadsheetml/2006/main">
  <authors>
    <author>Lykovas, Andrejus {DEEB~Vilnius-Jasinskio}</author>
  </authors>
  <commentList>
    <comment ref="B76" authorId="0">
      <text>
        <r>
          <rPr>
            <b/>
            <sz val="9"/>
            <color indexed="81"/>
            <rFont val="Tahoma"/>
            <family val="2"/>
          </rPr>
          <t>Code is for 2200 V</t>
        </r>
      </text>
    </comment>
  </commentList>
</comments>
</file>

<file path=xl/comments2.xml><?xml version="1.0" encoding="utf-8"?>
<comments xmlns="http://schemas.openxmlformats.org/spreadsheetml/2006/main">
  <authors>
    <author>Lykovas, Andrejus {DEEB~Vilnius-Jasinskio}</author>
  </authors>
  <commentList>
    <comment ref="B76" authorId="0">
      <text>
        <r>
          <rPr>
            <b/>
            <sz val="9"/>
            <color indexed="81"/>
            <rFont val="Tahoma"/>
            <family val="2"/>
          </rPr>
          <t>Code is for 2200 V</t>
        </r>
      </text>
    </comment>
  </commentList>
</comments>
</file>

<file path=xl/sharedStrings.xml><?xml version="1.0" encoding="utf-8"?>
<sst xmlns="http://schemas.openxmlformats.org/spreadsheetml/2006/main" count="1528" uniqueCount="697">
  <si>
    <t xml:space="preserve">Hematologinis analizatorius XN-1000 (RET/PLT-F) SA-10 </t>
  </si>
  <si>
    <t xml:space="preserve">SE000515 </t>
  </si>
  <si>
    <t>UPS_APC2200</t>
  </si>
  <si>
    <t xml:space="preserve">UPS APC SMART-UPS 2200VA USB </t>
  </si>
  <si>
    <t>SIS1302002</t>
  </si>
  <si>
    <t>EHP2035</t>
  </si>
  <si>
    <t>Spausdintuvas HP P2035</t>
  </si>
  <si>
    <t>VNC3542813</t>
  </si>
  <si>
    <t>S38000340</t>
  </si>
  <si>
    <t>HANDHELD BR GRYPHON D-130</t>
  </si>
  <si>
    <t>E12I27365</t>
  </si>
  <si>
    <t>SAP795756</t>
  </si>
  <si>
    <t>XN-10 COMPLETE</t>
  </si>
  <si>
    <t>SBB502040</t>
  </si>
  <si>
    <t>XN-1000 SUPPLY PARTS (EU)</t>
  </si>
  <si>
    <t>A1212</t>
  </si>
  <si>
    <t>SZE000350</t>
  </si>
  <si>
    <t>XN INSTALLATION KIT</t>
  </si>
  <si>
    <t>00-11</t>
  </si>
  <si>
    <t>S01330061</t>
  </si>
  <si>
    <t>PU-17 (200V WHITE)</t>
  </si>
  <si>
    <t>B6053</t>
  </si>
  <si>
    <t>SBH902158</t>
  </si>
  <si>
    <t>Sampler SA-10 SUPPLY PARTS</t>
  </si>
  <si>
    <t>S38000313</t>
  </si>
  <si>
    <t>CAB-426 CABLE HT/XS/UF - 1000I</t>
  </si>
  <si>
    <t>SZE000502</t>
  </si>
  <si>
    <t>XN RET license (for XN-10)</t>
  </si>
  <si>
    <t>SZE000501</t>
  </si>
  <si>
    <t>XN PLT-F license</t>
  </si>
  <si>
    <t>S37000088</t>
  </si>
  <si>
    <t>IPU HP for XN-series</t>
  </si>
  <si>
    <t>CZC3024TKO</t>
  </si>
  <si>
    <t>S37000033</t>
  </si>
  <si>
    <t>Touchscreen for XN</t>
  </si>
  <si>
    <t>S37000037</t>
  </si>
  <si>
    <t>XN Desk Mount LCD ARM</t>
  </si>
  <si>
    <t>SZE000636</t>
  </si>
  <si>
    <t>POWER CABLE FOR XN</t>
  </si>
  <si>
    <t>AP795756</t>
  </si>
  <si>
    <t>CT152030</t>
  </si>
  <si>
    <t>XN-2000 supply parts (EU)</t>
  </si>
  <si>
    <t>AR098169</t>
  </si>
  <si>
    <t>SA-20 complete (sampler for XN-2000)</t>
  </si>
  <si>
    <t>CH989380</t>
  </si>
  <si>
    <t>SA-20 supply parts</t>
  </si>
  <si>
    <t>Code</t>
  </si>
  <si>
    <t>Description</t>
  </si>
  <si>
    <t>Sr. no.</t>
  </si>
  <si>
    <t>Operating lease agreement No. P 13/04/17</t>
  </si>
  <si>
    <t>New instruments</t>
  </si>
  <si>
    <t xml:space="preserve"> Monthly rental price for the devices:</t>
  </si>
  <si>
    <t>1.</t>
  </si>
  <si>
    <t>2.</t>
  </si>
  <si>
    <t>cobas 6000 core unit 150</t>
  </si>
  <si>
    <t>cobas c501 module</t>
  </si>
  <si>
    <t>cobas link date station</t>
  </si>
  <si>
    <t>UPS_GTX 5000</t>
  </si>
  <si>
    <t>SN1229401042 BW63</t>
  </si>
  <si>
    <t>1262-02</t>
  </si>
  <si>
    <t>1365-07</t>
  </si>
  <si>
    <t>SCL96368</t>
  </si>
  <si>
    <t>cobas 6000 e601 module</t>
  </si>
  <si>
    <t>2 x Measuring Cell with REF.</t>
  </si>
  <si>
    <t xml:space="preserve">3. </t>
  </si>
  <si>
    <t>4.</t>
  </si>
  <si>
    <t>cobas 6000 C-line</t>
  </si>
  <si>
    <t>5.</t>
  </si>
  <si>
    <t>cobas 6000 E2-line</t>
  </si>
  <si>
    <t>6.</t>
  </si>
  <si>
    <t>7.</t>
  </si>
  <si>
    <t>8.</t>
  </si>
  <si>
    <t>QTY</t>
  </si>
  <si>
    <t>New instrument</t>
  </si>
  <si>
    <t>HP LP P2035</t>
  </si>
  <si>
    <t>Eaton 5PX 3000</t>
  </si>
  <si>
    <t>cobas u 601 urine analyzer</t>
  </si>
  <si>
    <t>Installation kit cobas 6500/ u601/ u701</t>
  </si>
  <si>
    <t>Waste Box Carton</t>
  </si>
  <si>
    <t>cobas U Calibration Strip, 25 Str.</t>
  </si>
  <si>
    <t>Rack Tray, 75 pos, collapsible, PVT</t>
  </si>
  <si>
    <t>RD STANDARD RACK 0001-0050</t>
  </si>
  <si>
    <t>STD-RACK, WASH W999 GREEN (2 PCS)</t>
  </si>
  <si>
    <t>STD-RACK, CONTROL Q001-Q010 WHITE</t>
  </si>
  <si>
    <t>cobas u 701 microscopy analyzer</t>
  </si>
  <si>
    <t>sample probe cobas u 601</t>
  </si>
  <si>
    <t>sample probe cobas u 701</t>
  </si>
  <si>
    <t>Eaton 5PX 2200</t>
  </si>
  <si>
    <t xml:space="preserve">cobas b 123 &lt;4&gt; POC system </t>
  </si>
  <si>
    <t>Imaging scanner cobas b 123</t>
  </si>
  <si>
    <t>Eaton Ellipse ECO 1600</t>
  </si>
  <si>
    <t>NGBG, Code Key Reader</t>
  </si>
  <si>
    <t>Accu-Chek Inform II Accessory</t>
  </si>
  <si>
    <t>Accu-Chek Inform II Base Unit</t>
  </si>
  <si>
    <t>AC Inform II Meter Kit +RF</t>
  </si>
  <si>
    <t>cobas h 232 Kit (scanner)</t>
  </si>
  <si>
    <t>cobas 6000 e-Line</t>
  </si>
  <si>
    <t>Technical services</t>
  </si>
  <si>
    <t>TUBE PHARMED BPT_1/8IN X 1/4IN (piece)</t>
  </si>
  <si>
    <t>SYRINGE_ASSY NO.31</t>
  </si>
  <si>
    <t>VALVE ASSY NO.144</t>
  </si>
  <si>
    <t>SEAL NO.23</t>
  </si>
  <si>
    <t>O-RING NO.25</t>
  </si>
  <si>
    <t>SPONGE NO. 19 (piece)</t>
  </si>
  <si>
    <t>SEAL NO.156</t>
  </si>
  <si>
    <t>O-RING NO.123</t>
  </si>
  <si>
    <t>05014468001</t>
  </si>
  <si>
    <t>06572227001</t>
  </si>
  <si>
    <t>06934226001</t>
  </si>
  <si>
    <t>06931090001</t>
  </si>
  <si>
    <t>06931537001</t>
  </si>
  <si>
    <t>05011418001</t>
  </si>
  <si>
    <t>06572596001</t>
  </si>
  <si>
    <t>06572243001</t>
  </si>
  <si>
    <t>Technical services (2 times/year)</t>
  </si>
  <si>
    <t>Work (24,98/hour)</t>
  </si>
  <si>
    <t>Halogen lamp</t>
  </si>
  <si>
    <t>c501 Maintenance Kit 4</t>
  </si>
  <si>
    <t>c501 Maintenance Kit 2</t>
  </si>
  <si>
    <t>04813707001</t>
  </si>
  <si>
    <t>07783175001</t>
  </si>
  <si>
    <t>04938836001</t>
  </si>
  <si>
    <t>E170 Kit Box Assy</t>
  </si>
  <si>
    <t>TUBE CELL ASSY</t>
  </si>
  <si>
    <t>03504620001</t>
  </si>
  <si>
    <t xml:space="preserve">KIT MAINTENANCE PUMP PERISTALTIC </t>
  </si>
  <si>
    <t>PUMP MEMBRANE SUCTION L450</t>
  </si>
  <si>
    <t>Hamilton Syringe 2.5 ml</t>
  </si>
  <si>
    <t>Hamilton Syringe 250 ml</t>
  </si>
  <si>
    <t>Water filter</t>
  </si>
  <si>
    <t>Air filter control unit</t>
  </si>
  <si>
    <t>06509983001</t>
  </si>
  <si>
    <t>05551625001</t>
  </si>
  <si>
    <t>06509835001</t>
  </si>
  <si>
    <t>06509827001</t>
  </si>
  <si>
    <t>06509860001</t>
  </si>
  <si>
    <t>06509878001</t>
  </si>
  <si>
    <t>06509886001</t>
  </si>
  <si>
    <t>06688080001</t>
  </si>
  <si>
    <t>06509797001</t>
  </si>
  <si>
    <t>06509916001</t>
  </si>
  <si>
    <t>06509924001</t>
  </si>
  <si>
    <t>07418248001</t>
  </si>
  <si>
    <t>04516362001</t>
  </si>
  <si>
    <t>07315201001</t>
  </si>
  <si>
    <t>04921984001</t>
  </si>
  <si>
    <t>06509975001</t>
  </si>
  <si>
    <t>06509967001</t>
  </si>
  <si>
    <t>05930723001</t>
  </si>
  <si>
    <t>7418183001</t>
  </si>
  <si>
    <t>04884671001</t>
  </si>
  <si>
    <t>05060281001</t>
  </si>
  <si>
    <t>05060290001</t>
  </si>
  <si>
    <t>05060303001</t>
  </si>
  <si>
    <t>04901142190</t>
  </si>
  <si>
    <t>STD</t>
  </si>
  <si>
    <t>Mat Nr.</t>
  </si>
  <si>
    <t>BSP</t>
  </si>
  <si>
    <t>%</t>
  </si>
  <si>
    <t>FMV</t>
  </si>
  <si>
    <t>NBV</t>
  </si>
  <si>
    <t>FULL SYSTEM</t>
  </si>
  <si>
    <t>PER PIECE</t>
  </si>
  <si>
    <t>07418191001</t>
  </si>
  <si>
    <t>FMV at end of Useful life</t>
  </si>
  <si>
    <t>EURIBOR</t>
  </si>
  <si>
    <t>Payment per month</t>
  </si>
  <si>
    <t>Depreciation</t>
  </si>
  <si>
    <t>Depreciation per month</t>
  </si>
  <si>
    <t>1st Year</t>
  </si>
  <si>
    <t>Rest of the years</t>
  </si>
  <si>
    <t>Monthly Depreciation</t>
  </si>
  <si>
    <t>Sales</t>
  </si>
  <si>
    <t>Profit</t>
  </si>
  <si>
    <t>Profitability</t>
  </si>
  <si>
    <t>Year 1</t>
  </si>
  <si>
    <t>Next Years</t>
  </si>
  <si>
    <t>COGS (one off)</t>
  </si>
  <si>
    <t>Service</t>
  </si>
  <si>
    <t>Mark Up</t>
  </si>
  <si>
    <t>2nd Year</t>
  </si>
  <si>
    <t>3rd Year</t>
  </si>
  <si>
    <t>4th Year</t>
  </si>
  <si>
    <t>5th year</t>
  </si>
  <si>
    <t>Instalation</t>
  </si>
  <si>
    <t>TOTAL</t>
  </si>
  <si>
    <t>REAGENTŲ BEI PAPILDOMŲ PRIEMONIŲ PAVADINIMAI, KIEKIAI IR KAINOS</t>
  </si>
  <si>
    <t>Diagnostinių reagentų, medžiagų pavadinimai</t>
  </si>
  <si>
    <t>Preliminarus tyrimų skaičius per 12 mėn.</t>
  </si>
  <si>
    <t>Siūloma pakuotė</t>
  </si>
  <si>
    <t>Siūlomos pakuotės kaina, EUR be PVM</t>
  </si>
  <si>
    <t>Gamintojas, komercinis prekės pavadinimas</t>
  </si>
  <si>
    <t>BIOCHEMINIAI TYRIMAI</t>
  </si>
  <si>
    <t>1.1.</t>
  </si>
  <si>
    <t>Calibrator f.a.s.</t>
  </si>
  <si>
    <t>12 x 3 ml.</t>
  </si>
  <si>
    <t>1.2.</t>
  </si>
  <si>
    <r>
      <t xml:space="preserve">PreciControl ClinChem Multi 1 </t>
    </r>
    <r>
      <rPr>
        <sz val="10"/>
        <rFont val="Times New Roman"/>
        <family val="1"/>
      </rPr>
      <t>QCS</t>
    </r>
  </si>
  <si>
    <t>20 x 5 ml.</t>
  </si>
  <si>
    <t>1.3.</t>
  </si>
  <si>
    <r>
      <t xml:space="preserve">PreciControl ClinChem Multi 2 </t>
    </r>
    <r>
      <rPr>
        <sz val="10"/>
        <rFont val="Times New Roman"/>
        <family val="1"/>
      </rPr>
      <t>QCS</t>
    </r>
  </si>
  <si>
    <t>2.1.</t>
  </si>
  <si>
    <t>C.f.a.s PUC</t>
  </si>
  <si>
    <t>5 x 1 ml.</t>
  </si>
  <si>
    <t>2.2.</t>
  </si>
  <si>
    <t>Precinorm PUC</t>
  </si>
  <si>
    <t>4 x 3 ml.</t>
  </si>
  <si>
    <t>2.3.</t>
  </si>
  <si>
    <t>Precipath PUC</t>
  </si>
  <si>
    <t>3.</t>
  </si>
  <si>
    <t>3.1.</t>
  </si>
  <si>
    <t>Calibrator f.a.s. Proteins</t>
  </si>
  <si>
    <t>3.2.</t>
  </si>
  <si>
    <t>3.3.</t>
  </si>
  <si>
    <t>4.1.</t>
  </si>
  <si>
    <t>4.2.</t>
  </si>
  <si>
    <t>4.3.</t>
  </si>
  <si>
    <t>Kreatininas</t>
  </si>
  <si>
    <t>5.1.</t>
  </si>
  <si>
    <t>5.2.</t>
  </si>
  <si>
    <t>5.3.</t>
  </si>
  <si>
    <t>Kreatininas šlapime</t>
  </si>
  <si>
    <t>6.1.</t>
  </si>
  <si>
    <t>6.2.</t>
  </si>
  <si>
    <t>6.3.</t>
  </si>
  <si>
    <t>7.1.</t>
  </si>
  <si>
    <t>7.2.</t>
  </si>
  <si>
    <t>7.3.</t>
  </si>
  <si>
    <t>8.1.</t>
  </si>
  <si>
    <t>8.2.</t>
  </si>
  <si>
    <t>8.3.</t>
  </si>
  <si>
    <t>9.</t>
  </si>
  <si>
    <t>9.1.</t>
  </si>
  <si>
    <t>9.2.</t>
  </si>
  <si>
    <t>9.3.</t>
  </si>
  <si>
    <t>10.</t>
  </si>
  <si>
    <t>10.1.</t>
  </si>
  <si>
    <t>10.2.</t>
  </si>
  <si>
    <t>10.3.</t>
  </si>
  <si>
    <t>11.</t>
  </si>
  <si>
    <t>11.1.</t>
  </si>
  <si>
    <t>11.2.</t>
  </si>
  <si>
    <t>11.3.</t>
  </si>
  <si>
    <t>12.</t>
  </si>
  <si>
    <t>12.1.</t>
  </si>
  <si>
    <t>12.2.</t>
  </si>
  <si>
    <t>12.3.</t>
  </si>
  <si>
    <t>13.</t>
  </si>
  <si>
    <t>Gama gliutamiltranferazė (GGT)</t>
  </si>
  <si>
    <t>13.1.</t>
  </si>
  <si>
    <t>13.2.</t>
  </si>
  <si>
    <t>13.3.</t>
  </si>
  <si>
    <t>14.</t>
  </si>
  <si>
    <t>14.1.</t>
  </si>
  <si>
    <t>14.2.</t>
  </si>
  <si>
    <t>14.3.</t>
  </si>
  <si>
    <t>15.</t>
  </si>
  <si>
    <t>Kasos amilazė</t>
  </si>
  <si>
    <t>15.1.</t>
  </si>
  <si>
    <t>15.2.</t>
  </si>
  <si>
    <t>15.3.</t>
  </si>
  <si>
    <t>16.</t>
  </si>
  <si>
    <t>16.1.</t>
  </si>
  <si>
    <t>16.2.</t>
  </si>
  <si>
    <t>16.3.</t>
  </si>
  <si>
    <t>17.1.</t>
  </si>
  <si>
    <t>17.2.</t>
  </si>
  <si>
    <t>17.3.</t>
  </si>
  <si>
    <t>18.</t>
  </si>
  <si>
    <t>18.1.</t>
  </si>
  <si>
    <t>18.2.</t>
  </si>
  <si>
    <t>18.3.</t>
  </si>
  <si>
    <t>19.</t>
  </si>
  <si>
    <t>19.1.</t>
  </si>
  <si>
    <t>C.f.a.s Lipids</t>
  </si>
  <si>
    <t>3 x 1 ml.</t>
  </si>
  <si>
    <t>19.2.</t>
  </si>
  <si>
    <t>19.3.</t>
  </si>
  <si>
    <t>20.</t>
  </si>
  <si>
    <t>20.1.</t>
  </si>
  <si>
    <t>20.2.</t>
  </si>
  <si>
    <t>20.3.</t>
  </si>
  <si>
    <t>21.</t>
  </si>
  <si>
    <t>1 vnt.</t>
  </si>
  <si>
    <t>22.</t>
  </si>
  <si>
    <t>23.</t>
  </si>
  <si>
    <t>24.</t>
  </si>
  <si>
    <t>24.1.</t>
  </si>
  <si>
    <t>24.2.</t>
  </si>
  <si>
    <t>25.</t>
  </si>
  <si>
    <t>25.1.</t>
  </si>
  <si>
    <t>25.2.</t>
  </si>
  <si>
    <t>25.3.</t>
  </si>
  <si>
    <t>26.</t>
  </si>
  <si>
    <t>26.1.</t>
  </si>
  <si>
    <t>26.2.</t>
  </si>
  <si>
    <t>26.3.</t>
  </si>
  <si>
    <t>27.</t>
  </si>
  <si>
    <t>Fosforas</t>
  </si>
  <si>
    <t>27.1.</t>
  </si>
  <si>
    <t>27.2.</t>
  </si>
  <si>
    <t>27.3.</t>
  </si>
  <si>
    <t>28.</t>
  </si>
  <si>
    <t>Glikozilinto hemoglobino koncentracija</t>
  </si>
  <si>
    <t>28.1.</t>
  </si>
  <si>
    <t>Cfas HbA1c</t>
  </si>
  <si>
    <t>3 x 2 ml.</t>
  </si>
  <si>
    <t>28.2.</t>
  </si>
  <si>
    <t>PreciControl HbA1c norm</t>
  </si>
  <si>
    <t>4 x 1 ml.</t>
  </si>
  <si>
    <t>28.3.</t>
  </si>
  <si>
    <t>PreciControl HbA1c path</t>
  </si>
  <si>
    <t>HbA1c hemolyzing reagent</t>
  </si>
  <si>
    <t>51 ml.</t>
  </si>
  <si>
    <t>29.</t>
  </si>
  <si>
    <t>Reumatoidinis faktorius</t>
  </si>
  <si>
    <t>29.1.</t>
  </si>
  <si>
    <t>Preciset RF</t>
  </si>
  <si>
    <t>29.2.</t>
  </si>
  <si>
    <t>RF Control Set</t>
  </si>
  <si>
    <t>30.</t>
  </si>
  <si>
    <t>30.1.</t>
  </si>
  <si>
    <t>30.2.</t>
  </si>
  <si>
    <t>30.3.</t>
  </si>
  <si>
    <t>31.</t>
  </si>
  <si>
    <t>31.1.</t>
  </si>
  <si>
    <t>31.2.</t>
  </si>
  <si>
    <t>31.3.</t>
  </si>
  <si>
    <t>32.</t>
  </si>
  <si>
    <t>Antistreptolizinas O</t>
  </si>
  <si>
    <t>32.1.</t>
  </si>
  <si>
    <t>C.f.a.s. PAC</t>
  </si>
  <si>
    <t>32.2.</t>
  </si>
  <si>
    <t>32.3.</t>
  </si>
  <si>
    <t>33.</t>
  </si>
  <si>
    <t>Laktatdehidrogenazė LDH</t>
  </si>
  <si>
    <t>33.1.</t>
  </si>
  <si>
    <t>33.2.</t>
  </si>
  <si>
    <t>34.</t>
  </si>
  <si>
    <t>Kreatinkinazė CK</t>
  </si>
  <si>
    <t>34.1.</t>
  </si>
  <si>
    <t>34.2.</t>
  </si>
  <si>
    <t>34.3.</t>
  </si>
  <si>
    <t>35.</t>
  </si>
  <si>
    <t>36.</t>
  </si>
  <si>
    <t>Diluent NaCl 9 %</t>
  </si>
  <si>
    <t>50 ml.</t>
  </si>
  <si>
    <t>37.</t>
  </si>
  <si>
    <t>Reference Electrode</t>
  </si>
  <si>
    <t>38.</t>
  </si>
  <si>
    <t>ISE Standard low</t>
  </si>
  <si>
    <t>10 x 3 ml.</t>
  </si>
  <si>
    <t>39.</t>
  </si>
  <si>
    <t>ISE Standard high</t>
  </si>
  <si>
    <t>40.</t>
  </si>
  <si>
    <t>ISE Compensator</t>
  </si>
  <si>
    <t>10 x 1 ml.</t>
  </si>
  <si>
    <t>41.</t>
  </si>
  <si>
    <t>ISE Diluent Gen.2</t>
  </si>
  <si>
    <t>5 x 300 ml.</t>
  </si>
  <si>
    <t>42.</t>
  </si>
  <si>
    <t>ISE Internal Standard Gen.2</t>
  </si>
  <si>
    <t>5 x 600 ml.</t>
  </si>
  <si>
    <t>43.</t>
  </si>
  <si>
    <t>ISE Reference Electrolyte Solution</t>
  </si>
  <si>
    <t>44.</t>
  </si>
  <si>
    <t>ISE Cleaning Solution</t>
  </si>
  <si>
    <t>5 x 100 ml.</t>
  </si>
  <si>
    <t>45.</t>
  </si>
  <si>
    <t>Activator</t>
  </si>
  <si>
    <t>9 x 12 ml.</t>
  </si>
  <si>
    <t>46.</t>
  </si>
  <si>
    <t>NaOH-D</t>
  </si>
  <si>
    <t>66 ml.</t>
  </si>
  <si>
    <t>47.</t>
  </si>
  <si>
    <t>SMS</t>
  </si>
  <si>
    <t>48.</t>
  </si>
  <si>
    <t>Cell Wash Solution I/NaOH-D</t>
  </si>
  <si>
    <t>2 x 1,8 l.</t>
  </si>
  <si>
    <t>49.</t>
  </si>
  <si>
    <t>Acid wash Solution</t>
  </si>
  <si>
    <t>50.</t>
  </si>
  <si>
    <t>Multiclean/Sample Cleaner 1</t>
  </si>
  <si>
    <t>12 x 59 ml.</t>
  </si>
  <si>
    <t>51.</t>
  </si>
  <si>
    <t xml:space="preserve">Hitergent for HIT 917 </t>
  </si>
  <si>
    <t>52.</t>
  </si>
  <si>
    <t>Reaction cell sets for cobas c 501</t>
  </si>
  <si>
    <t>53.</t>
  </si>
  <si>
    <t>Sample Cup Micro 13/16</t>
  </si>
  <si>
    <t>900 vnt.</t>
  </si>
  <si>
    <t>54.</t>
  </si>
  <si>
    <t>Cobas sample cup</t>
  </si>
  <si>
    <t>5000 vnt.</t>
  </si>
  <si>
    <t>2. Pateikti reikalingą reagentų, kitų priemonių ir kontrolinių medžiagų (atliekant kasdieninę 2-jų lygių kokybės kontrolę) kiekį, numatomam nurodytam tyrimų skaičiui per 12 mėn. atlikimui.</t>
  </si>
  <si>
    <t>3. Reagentai ir papildomos medžiagos/priemonės turi būti paženklinti CE arba lygiaverčiu ženklu.</t>
  </si>
  <si>
    <t>4. Visos siūlomos prekės turi būti originalios, tinkamos darbui siūlomiems analizatoriams (pateikti gamintojo patvirtinimą )</t>
  </si>
  <si>
    <t>5. Reagentų galiojimo terminas ne trumpesnis kaip 6 mėnesiai nuo pristatymo dienos.</t>
  </si>
  <si>
    <t>Konkurso sąlygų 3 priedas</t>
  </si>
  <si>
    <t>DIAGNOSTIKOS REAGENTŲ, SU ANALIZATORIŲ NUOMA, PIRKIMAS</t>
  </si>
  <si>
    <t>1. PIRKIMO DALIS - REAGENTAI BEI PAPILDOMOS PRIEMONĖS AUTOMATINIAM IMUNOLOGINIAM ANALIZATORIUI</t>
  </si>
  <si>
    <r>
      <t xml:space="preserve">1.1. Reagentai bei papildomos priemonės automatiniam imunologiniam analizatoriui </t>
    </r>
    <r>
      <rPr>
        <b/>
        <i/>
        <sz val="11"/>
        <color theme="1"/>
        <rFont val="Times New Roman"/>
        <family val="1"/>
      </rPr>
      <t>Cobas e601</t>
    </r>
  </si>
  <si>
    <t>Analizatoriaus pavadinimas</t>
  </si>
  <si>
    <t xml:space="preserve">Eil.
Nr.
</t>
  </si>
  <si>
    <t>Reagentų ir priemonių kiekis (ml./vnt.) nurodytam tyrimų skaičiui</t>
  </si>
  <si>
    <t>Suma, EUR be PVM 12 mėn.</t>
  </si>
  <si>
    <t>Suma, EUR su PVM 12 mėn.</t>
  </si>
  <si>
    <t>IMUNOLOGINIAI TYRIMAI</t>
  </si>
  <si>
    <t xml:space="preserve">1. </t>
  </si>
  <si>
    <t>Tirotropinas TSH</t>
  </si>
  <si>
    <t>TSH CalSet</t>
  </si>
  <si>
    <t>4 x 1,3 ml.</t>
  </si>
  <si>
    <t>PreciControl Universal</t>
  </si>
  <si>
    <t xml:space="preserve"> 4 x 3 ml.</t>
  </si>
  <si>
    <t>Laisvas tiroksinas FT4</t>
  </si>
  <si>
    <t>FT4 CalSet</t>
  </si>
  <si>
    <t>4 x 1 ml</t>
  </si>
  <si>
    <t xml:space="preserve">Bendras (laisvas+sujungtas) PSA prostatos specifinis antigenas </t>
  </si>
  <si>
    <t>total PSA CalSet</t>
  </si>
  <si>
    <t xml:space="preserve">ŽIV-1/2 antikūnai </t>
  </si>
  <si>
    <t>Precicontrol HIV</t>
  </si>
  <si>
    <t>6 x 2 ml.</t>
  </si>
  <si>
    <t>Feritinas</t>
  </si>
  <si>
    <t>Ferritin CalSet</t>
  </si>
  <si>
    <t>Precicontrol Tumor Marker</t>
  </si>
  <si>
    <t>Troponinas (didelio jautrumo metodas, trumpas tyrimo nustatymo laikas, iki 20 min.)</t>
  </si>
  <si>
    <t>Troponin T hs STAT CalSet</t>
  </si>
  <si>
    <t>PreciControl Troponin</t>
  </si>
  <si>
    <t>4 x 2 ml.</t>
  </si>
  <si>
    <t>Paratiroidinis hormonas PTH</t>
  </si>
  <si>
    <t>PTH CalSet</t>
  </si>
  <si>
    <t>PreciControl Varia</t>
  </si>
  <si>
    <t>Antikūnai prieš hepatito C virusą Anti-HCV</t>
  </si>
  <si>
    <t xml:space="preserve">Precicontrol Anti-HCV </t>
  </si>
  <si>
    <t>16 x 1,3 ml.</t>
  </si>
  <si>
    <t>Prolaktino koncentracija PRL</t>
  </si>
  <si>
    <t>Prolactin CalSet</t>
  </si>
  <si>
    <t>Liuteinizuojančio hormono koncentracija LH</t>
  </si>
  <si>
    <t>LH CalSet</t>
  </si>
  <si>
    <t>Estradiolio koncentracija E2</t>
  </si>
  <si>
    <t>Estradiol CalSet</t>
  </si>
  <si>
    <t>25-Hidroksivitaminas D(total- bendras)</t>
  </si>
  <si>
    <t>Vitamin D total CalSet</t>
  </si>
  <si>
    <t>Skydliaukės peroksidazės anikūnai Anti-TPO</t>
  </si>
  <si>
    <t>Anti - TPO CalSet</t>
  </si>
  <si>
    <t>4 x 1,5 ml.</t>
  </si>
  <si>
    <t>PreciControl ThyroAB</t>
  </si>
  <si>
    <t>2 x 2 ml.</t>
  </si>
  <si>
    <t>Hepatito B viruso paviršiaus antigenas HBsAg</t>
  </si>
  <si>
    <t xml:space="preserve">Precicontrol HBsAg </t>
  </si>
  <si>
    <t>Imunoglobulinas E-IgE</t>
  </si>
  <si>
    <t>IgE CalSet</t>
  </si>
  <si>
    <t>Žmogaus chorioninis gonadotropinas HCG (trumpas tyrimo nustatymo laikas, apie 10 min.)</t>
  </si>
  <si>
    <t>HCG Stat CalSet</t>
  </si>
  <si>
    <t>17.</t>
  </si>
  <si>
    <t>Prokalcitoninas PCT</t>
  </si>
  <si>
    <t>Vėžio antigenas CA 125</t>
  </si>
  <si>
    <t>Ca 125 CalSet</t>
  </si>
  <si>
    <t>Žmogaus antsėklidžio baltymas HE4</t>
  </si>
  <si>
    <t>HE4 CalSet</t>
  </si>
  <si>
    <t>PreciControl HE4</t>
  </si>
  <si>
    <t>Kreatinkinazės izofermentas CK-MB - (trumpas tyrimo nustatymo laikas, apie 18 min.)</t>
  </si>
  <si>
    <t>CK-MB Stat CalSet</t>
  </si>
  <si>
    <t xml:space="preserve">PreciControl Cardiac </t>
  </si>
  <si>
    <t>N-galo pro B - tipo natriuretinis peptidas Pro BNP</t>
  </si>
  <si>
    <t>21.1.</t>
  </si>
  <si>
    <t>proBNP CalSet</t>
  </si>
  <si>
    <t>21.2.</t>
  </si>
  <si>
    <t xml:space="preserve">Sujungiantysis peptidas – C peptidas </t>
  </si>
  <si>
    <t>22.1.</t>
  </si>
  <si>
    <t>C-Peptide CalSet</t>
  </si>
  <si>
    <t>22.2.</t>
  </si>
  <si>
    <t>PreciControl Multimarker</t>
  </si>
  <si>
    <t xml:space="preserve">Su nėštumu susijęs plazmos baltymas- PAPP-A </t>
  </si>
  <si>
    <t>23.1.</t>
  </si>
  <si>
    <t>PAPP-A CalSet</t>
  </si>
  <si>
    <t>23.2.</t>
  </si>
  <si>
    <t>PreciControl Maternal Care</t>
  </si>
  <si>
    <t>Laisvas žmogaus choriono gonadotropino β-subvienetas - free βhCG</t>
  </si>
  <si>
    <t xml:space="preserve"> Free b-HCG CalSet</t>
  </si>
  <si>
    <t xml:space="preserve">Žmogaus chorioninio gonadotropino HCG ir HCG β-subvieneto suminė koncentracija - HCG+β </t>
  </si>
  <si>
    <t>HCG+beta CalSet</t>
  </si>
  <si>
    <t>Alfa 1-fetoproteinas AFP</t>
  </si>
  <si>
    <t>AFP CalSet</t>
  </si>
  <si>
    <t>Bendrų antikūnų prieš Treponema pallidum -Syphilis -nustatymas</t>
  </si>
  <si>
    <t>PreciControl Syphilis</t>
  </si>
  <si>
    <t>IgM antikūnų prieš Toxoplasma gondii nustatymas</t>
  </si>
  <si>
    <t>PreciControl Toxo IgM</t>
  </si>
  <si>
    <t>16 x 0,67 ml.</t>
  </si>
  <si>
    <t>IgG antikūnų prieš Toxoplasma gondii nustatymas</t>
  </si>
  <si>
    <t>PreciControl Toxo IgG</t>
  </si>
  <si>
    <t>16 x 1 ml.</t>
  </si>
  <si>
    <t>Ciklosporino koncentracijos nustatymas</t>
  </si>
  <si>
    <t>Cyclosporine CalSet</t>
  </si>
  <si>
    <t>6 x 1 ml.</t>
  </si>
  <si>
    <t>ISD Sample Pretreatment</t>
  </si>
  <si>
    <t>1 x 30 ml.</t>
  </si>
  <si>
    <t>PreciControl ISD</t>
  </si>
  <si>
    <t>3 x 3 ml.</t>
  </si>
  <si>
    <t>Mėginių skiediklis Diluent Universal</t>
  </si>
  <si>
    <t>2 x 16 ml.</t>
  </si>
  <si>
    <t>Mėginių skiediklis Diluent MultiAssay</t>
  </si>
  <si>
    <t>Procell M, sistemos buferis</t>
  </si>
  <si>
    <t>2 x 2 l</t>
  </si>
  <si>
    <t>CleanCell M, matavimo kameros valymo tirpalas</t>
  </si>
  <si>
    <t>PC/CC-Cups</t>
  </si>
  <si>
    <t>12 PC</t>
  </si>
  <si>
    <t>ProbeWash M, valymo tirpalas</t>
  </si>
  <si>
    <t>12 x 70 ml.</t>
  </si>
  <si>
    <t>AssayTip/AssayCup Combimagazine M</t>
  </si>
  <si>
    <t>48 x 84 PC</t>
  </si>
  <si>
    <t>WasteLiner, atliekų maišeliai</t>
  </si>
  <si>
    <t>SysClean Adapter M, adapteris</t>
  </si>
  <si>
    <t>Elecsys SysClean, sistemos valymo tirpalas</t>
  </si>
  <si>
    <t>PreClean M, matavimo sistemos valymo tirpalas</t>
  </si>
  <si>
    <t>1 pirkimo dalies reagentų ir/ar papildomų priemonių bendra suma Eur:</t>
  </si>
  <si>
    <t>PASTABOS:</t>
  </si>
  <si>
    <t>1. Tiekėjas privalo įvertinti ir nurodyti (įrašyti) visas reikiamas sudedamąsias dalis tyrimui atlikti.</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</si>
  <si>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</si>
  <si>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2. PIRKIMO DALIS - REAGENTAI BEI PAPILDOMOS PRIEMONĖS BIOCHEMINIAM ANALIZATORIUI</t>
  </si>
  <si>
    <r>
      <t xml:space="preserve">2.1. Reagentai bei papildomos priemonės biocheminiam analizatoriui (1 vnt.) </t>
    </r>
    <r>
      <rPr>
        <b/>
        <i/>
        <sz val="11"/>
        <color theme="1"/>
        <rFont val="Times New Roman"/>
        <family val="1"/>
      </rPr>
      <t>Cobas c501</t>
    </r>
  </si>
  <si>
    <t>(Analizatoriaus pavadinimas)</t>
  </si>
  <si>
    <t>Bendras baltymas (TP)</t>
  </si>
  <si>
    <t>Baltymas šlapime (TPUC)</t>
  </si>
  <si>
    <t>C reaktyvusis baltymas (CRB/CRP)</t>
  </si>
  <si>
    <t>Albuminas šlapime (mikroalbuminas)</t>
  </si>
  <si>
    <t>Šlapalas (UREA)</t>
  </si>
  <si>
    <t>Šlapimo rūgštis (UA)</t>
  </si>
  <si>
    <t>Bendras bilirubinas (TBIL)</t>
  </si>
  <si>
    <t>Tiesioginis bilirubinas (DBIL)</t>
  </si>
  <si>
    <t>Alaninaminotransferazė (ALT)</t>
  </si>
  <si>
    <t>Aspartataminotransferazė  (AST)</t>
  </si>
  <si>
    <t>Šarminė fosfatazė (ALP)</t>
  </si>
  <si>
    <t>Lipazė</t>
  </si>
  <si>
    <t>Alfa amilazė (AMYL)</t>
  </si>
  <si>
    <t xml:space="preserve">Gliukozė </t>
  </si>
  <si>
    <t>Cholesterolis (CHOL)</t>
  </si>
  <si>
    <t>Trigliceridai (TRIG)</t>
  </si>
  <si>
    <t>Didelio tankio lipoproteinų cholesterolis (DTL)</t>
  </si>
  <si>
    <r>
      <t xml:space="preserve">Mažo tankio lipoproteinų cholesterolis </t>
    </r>
    <r>
      <rPr>
        <sz val="10"/>
        <color theme="1"/>
        <rFont val="Times New Roman"/>
        <family val="1"/>
        <charset val="186"/>
      </rPr>
      <t>(tiesioginis metodas) (MTL)</t>
    </r>
  </si>
  <si>
    <t>21.3.</t>
  </si>
  <si>
    <t>Kalis (K)</t>
  </si>
  <si>
    <t>Natris (Na)</t>
  </si>
  <si>
    <t>Chloras (Cl)</t>
  </si>
  <si>
    <t>Kalcis (Ca)</t>
  </si>
  <si>
    <t>Kalcis šlapime (Ca)</t>
  </si>
  <si>
    <t>Magnis (Mg)</t>
  </si>
  <si>
    <t>Geležis (Fe)</t>
  </si>
  <si>
    <t>29.3.</t>
  </si>
  <si>
    <t>30.4.</t>
  </si>
  <si>
    <t xml:space="preserve">Transferinas </t>
  </si>
  <si>
    <t>C-reaktyvusis baltymas (didelio jautrumo metodu)</t>
  </si>
  <si>
    <t xml:space="preserve">Litis </t>
  </si>
  <si>
    <t>Serumo indeksai : Hemolizės, geltos. lipemijos</t>
  </si>
  <si>
    <t>Valproinė rūgštis</t>
  </si>
  <si>
    <t>36.1.</t>
  </si>
  <si>
    <t>Preciset TDM calibrators</t>
  </si>
  <si>
    <t>1 x 5 ml.</t>
  </si>
  <si>
    <t>36.2.</t>
  </si>
  <si>
    <t>TDM Control Set I, II, III</t>
  </si>
  <si>
    <t>2 x 5 ml.</t>
  </si>
  <si>
    <t>Komplemento komponentas C3</t>
  </si>
  <si>
    <t>37.1.</t>
  </si>
  <si>
    <t>37.2.</t>
  </si>
  <si>
    <t>37.3.</t>
  </si>
  <si>
    <t>Komplemento komponentas C4</t>
  </si>
  <si>
    <t>38.1.</t>
  </si>
  <si>
    <t>38.2.</t>
  </si>
  <si>
    <t>38.3.</t>
  </si>
  <si>
    <t>39.1.</t>
  </si>
  <si>
    <t>39.2.</t>
  </si>
  <si>
    <t>39.3.</t>
  </si>
  <si>
    <t>40.1.</t>
  </si>
  <si>
    <t>40.2.</t>
  </si>
  <si>
    <t>40.3.</t>
  </si>
  <si>
    <t>41.1.</t>
  </si>
  <si>
    <t>41.2.</t>
  </si>
  <si>
    <t>41.3.</t>
  </si>
  <si>
    <t>42.1.</t>
  </si>
  <si>
    <t>42.2.</t>
  </si>
  <si>
    <t>42.3.</t>
  </si>
  <si>
    <t>Etanolis</t>
  </si>
  <si>
    <t>43.1.</t>
  </si>
  <si>
    <t>Ammonia/Ethanol/CO2 Calibrator</t>
  </si>
  <si>
    <t>2 x 4 ml.</t>
  </si>
  <si>
    <t>43.2.</t>
  </si>
  <si>
    <t>Ammonia/Ethanol/CO2 Control Normal</t>
  </si>
  <si>
    <t>5 x 4 ml.</t>
  </si>
  <si>
    <t>43.3.</t>
  </si>
  <si>
    <t>Ammonia/Ethanol/CO2 Control Abnormal</t>
  </si>
  <si>
    <t>Albuminas serume</t>
  </si>
  <si>
    <t>44.1.</t>
  </si>
  <si>
    <t>44.2.</t>
  </si>
  <si>
    <t>44.3.</t>
  </si>
  <si>
    <t>55.</t>
  </si>
  <si>
    <t>56.</t>
  </si>
  <si>
    <t>57.</t>
  </si>
  <si>
    <t>58.</t>
  </si>
  <si>
    <t>59.</t>
  </si>
  <si>
    <t>60.</t>
  </si>
  <si>
    <t>61.</t>
  </si>
  <si>
    <t>62.</t>
  </si>
  <si>
    <t>63.</t>
  </si>
  <si>
    <t>2 pirkimo dalies reagentų ir/ar papildomų priemonių bendra suma Eur:</t>
  </si>
  <si>
    <t xml:space="preserve">1. Tiekėjas privalo įvertinti ir nurodyti (įrašyti) visas reikiamas sudedamąsias dalis tyrimui atlikti, tame tarpe ir kontrolines bei pagalbines medžiagas. </t>
  </si>
  <si>
    <t>2. Pateikti reikalingą reagentų, kitų priemonių ir kontrolinių medžiagų (atliekant kasdieninę 2-jų lygių kokybės kontrolę) kiekį, numatomam nurodytam tyrimų skaičiui per 12 mėn. atlikimui. Būtina pateikti pasiūlymą visoms pirkimo dalies pozicijoms, visam nurodytam tyrimų skaičiui užtikrinti.</t>
  </si>
  <si>
    <t>4. Visos siūlomos prekės turi būti originalios, tinkamos darbui siūlomiems analizatoriams.( Pateikti gamintojo patvirtinimą )</t>
  </si>
  <si>
    <t>4 PIRKIMO DALIS - REAGENTAI BEI PAPILDOMOS PRIEMONĖS ŠLAPIMO TYRIMŲ SISTEMOS ANALIZATORIUI</t>
  </si>
  <si>
    <r>
      <t xml:space="preserve">4.1. Reagentai bei papildomos priemonės šlapimo tyrimų sistemos analizatoriui (1 + 1 vnt.) </t>
    </r>
    <r>
      <rPr>
        <b/>
        <i/>
        <sz val="11"/>
        <color theme="1"/>
        <rFont val="Times New Roman"/>
        <family val="1"/>
      </rPr>
      <t>Cobas 6500</t>
    </r>
  </si>
  <si>
    <t>(Analizatorių pavadinimai)</t>
  </si>
  <si>
    <t xml:space="preserve">Vertinama tik pilna pirkimo dalis, atitinkanti bendrinius kokybinius bei techninius reikalavimus. 
Pateikti reikalingą reagentų (tyrimai: pH, ERY, LEU, NIT, PRO, KET, URO, BIL, GLU, specifinis tankis, skaidrumas, spalva), kontrolinių bei eksploatacinių medžiagų ir valiklių kiekį, numatomam nurodytam tyrimų skaičiui per 12 mėn. atlikti.
</t>
  </si>
  <si>
    <t>Bendras šlapimo tyrimas automatizuotu būdu</t>
  </si>
  <si>
    <t>Cobas U Pack Strip</t>
  </si>
  <si>
    <t>Cobas U Calibration Strip</t>
  </si>
  <si>
    <t>Liquichek Urinalysis Control Normal</t>
  </si>
  <si>
    <t>1 x 12 ml.</t>
  </si>
  <si>
    <t>1.4.</t>
  </si>
  <si>
    <t>Liquichek Urinalysis Control Patol</t>
  </si>
  <si>
    <t>Šlapimo mikroskopimis tyrimas automatizuotu būdu</t>
  </si>
  <si>
    <t>Cobas U Cuvette</t>
  </si>
  <si>
    <t>4 pirkimo dalies reagentų ir/ar papildomų priemonių bendra suma Eur:</t>
  </si>
  <si>
    <t>3 . Reagentai ir papildomos medžiagos/priemonės turi būti paženklinti CE arba lygiaverčiu ženklu.</t>
  </si>
  <si>
    <t>4. Visos siūlomos prekės turi būti originalios, tinkamos darbui siūlomiems analizatoriams. (Pateikti gamintojo patvirtinimą).</t>
  </si>
  <si>
    <t>5 PIRKIMO DALIS - REAGENTAI BEI PAPILDOMOS PRIEMONĖS GLIUKOZĖS TYRIMŲ SISTEMOS ANALIZATORIUI</t>
  </si>
  <si>
    <r>
      <t xml:space="preserve">5.1. Reagentai bei papildomos priemonės gliukozės tyrimų sistemos analizatoriui (4 vnt.) </t>
    </r>
    <r>
      <rPr>
        <b/>
        <i/>
        <sz val="11"/>
        <color theme="1"/>
        <rFont val="Times New Roman"/>
        <family val="1"/>
      </rPr>
      <t>Accu-chek inform II</t>
    </r>
  </si>
  <si>
    <t>Gliukozės tyrimas</t>
  </si>
  <si>
    <t xml:space="preserve">Accu-chek inform II EU2 </t>
  </si>
  <si>
    <t>50 vnt.</t>
  </si>
  <si>
    <t>Accu-chek Performa INT'L Controls II</t>
  </si>
  <si>
    <t>2 x 2,5 ml.</t>
  </si>
  <si>
    <t>5 pirkimo dalies reagentų ir/ar papildomų priemonių bendra suma Eur:</t>
  </si>
  <si>
    <t>4. Visos siūlomos prekės turi būti originalios, tinkamos darbui siūlomiems analizatoriams. (Pateikti gamintojo patvirtinimą)</t>
  </si>
  <si>
    <t xml:space="preserve">6 PIRKIMO DALIS - REAGENTAI BEI PAPILDOMOS PRIEMONĖS KRAUJO DUJŲ, pH ELEKTROLITŲ, METABOLITŲ IR OKSIMETRIJOS TYRIMŲ SISTEMOS ANALIZATORIUI </t>
  </si>
  <si>
    <r>
      <t>6.1. Reagentai bei papildomos priemonės kraujo dujų, ph, elektrolitų, metabolitų sistemos analizatoriui (1 vnt.) C</t>
    </r>
    <r>
      <rPr>
        <b/>
        <i/>
        <sz val="11"/>
        <color theme="1"/>
        <rFont val="Times New Roman"/>
        <family val="1"/>
      </rPr>
      <t>obas b123</t>
    </r>
  </si>
  <si>
    <t>Būtina pateikti pasiūlymą visoms pirkimo dalies pozicijoms</t>
  </si>
  <si>
    <t>Kraujo dujų, pH, elektrolitų (K, Na, Cl, juonizuotas Ca), metabolitų (gliukozė, laktatai, bilirubinas), oksimetrijos (fetalinis hemaglobinas) tyrimas</t>
  </si>
  <si>
    <t>Fluid Pack COOX 700 tests</t>
  </si>
  <si>
    <t>1vnt x 700</t>
  </si>
  <si>
    <t>Sensor Cartridge, BG/ISE/GLU/LAC</t>
  </si>
  <si>
    <t>1vnt</t>
  </si>
  <si>
    <t>AutoQC pack, TRI-Level, 24 pcs</t>
  </si>
  <si>
    <t>24 x 1</t>
  </si>
  <si>
    <t>Printer paper, 6 pcs</t>
  </si>
  <si>
    <t>6 x 1</t>
  </si>
  <si>
    <t>6 pirkimo dalies reagentų ir/ar papildomų priemonių bendra suma Eur:</t>
  </si>
  <si>
    <t>7 PIRKIMO DALIS - REAGENTAI BEI PAPILDOMOS PRIEMONĖS HEMATOLOGINIŲ TYRIMŲ SISTEMOS ANALIZATORIUI</t>
  </si>
  <si>
    <r>
      <t xml:space="preserve">7.1. Reagentai bei papildomos priemonės hematologinių tyrimų sistemos analizatoriui (2 vnt.) </t>
    </r>
    <r>
      <rPr>
        <b/>
        <i/>
        <sz val="11"/>
        <color theme="1"/>
        <rFont val="Times New Roman"/>
        <family val="1"/>
      </rPr>
      <t>Sysmex XN2000</t>
    </r>
  </si>
  <si>
    <t>Būtina pateikti pasiūlymą visoms pirkimo dalies pozicijoms.</t>
  </si>
  <si>
    <t>WBC, BA(%,#), NRBC(%,#), LY(%,#), NE(%,#), MO(%,#), EO(%,#), BA(%,#), nesubrendę granulocitai arba ankstyvosios granuliuotosios ląstelės (%,#), RBC, HGB, HCT, MCV, MCH, MCHC, PLT, RDW-SD, RDW, PDW, MPV, PCT tyrimas</t>
  </si>
  <si>
    <t>CELLPACK DCL</t>
  </si>
  <si>
    <t xml:space="preserve"> 20 l.</t>
  </si>
  <si>
    <t>CT661628</t>
  </si>
  <si>
    <t>LYSERCELL WNR</t>
  </si>
  <si>
    <t xml:space="preserve"> 1 x 5 l.</t>
  </si>
  <si>
    <t>AN577063</t>
  </si>
  <si>
    <t>LYSERCELL WDF</t>
  </si>
  <si>
    <t>AW993605</t>
  </si>
  <si>
    <t>CELLPACK DFL</t>
  </si>
  <si>
    <t xml:space="preserve"> 2 x 1,5 l.</t>
  </si>
  <si>
    <t>BT965910</t>
  </si>
  <si>
    <t>1.5.</t>
  </si>
  <si>
    <t>FLUOROCELL WNR</t>
  </si>
  <si>
    <t xml:space="preserve"> 2 x 82 ml.</t>
  </si>
  <si>
    <t>CP066715</t>
  </si>
  <si>
    <t>1.6.</t>
  </si>
  <si>
    <t xml:space="preserve">FLUOROCELL WDF </t>
  </si>
  <si>
    <t xml:space="preserve"> 2 x 42 ml.</t>
  </si>
  <si>
    <t>CV377552</t>
  </si>
  <si>
    <t>1.7.</t>
  </si>
  <si>
    <t>FLUOROCELL PLT</t>
  </si>
  <si>
    <t xml:space="preserve"> 2 x 12 ml.</t>
  </si>
  <si>
    <t>CD994563</t>
  </si>
  <si>
    <t>1.8.</t>
  </si>
  <si>
    <t>CELLCLEAN</t>
  </si>
  <si>
    <t>S83401621</t>
  </si>
  <si>
    <t>12215292001</t>
  </si>
  <si>
    <t>1.9.</t>
  </si>
  <si>
    <t>SULFOLYSER</t>
  </si>
  <si>
    <t>1,5 l.</t>
  </si>
  <si>
    <t>S90411317</t>
  </si>
  <si>
    <t>1.10.</t>
  </si>
  <si>
    <t>XN CHECK LEVEL 1</t>
  </si>
  <si>
    <t>3,0 ml.</t>
  </si>
  <si>
    <t>1.11.</t>
  </si>
  <si>
    <t>XN CHECK LEVEL 2</t>
  </si>
  <si>
    <t>1.12.</t>
  </si>
  <si>
    <t>XN CHECK LEVEL 3</t>
  </si>
  <si>
    <t>RET(%,#) tyrimas</t>
  </si>
  <si>
    <t>FLUOROCELL RET</t>
  </si>
  <si>
    <t>2 x 12 ml.</t>
  </si>
  <si>
    <t>BN337547</t>
  </si>
  <si>
    <t>7 pirkimo dalies reagentų ir/ar papildomų priemonių bendra suma Eur:</t>
  </si>
  <si>
    <t xml:space="preserve">2. Pateikti reikalingą reagentų, kitų priemonių ir kontrolinių medžiagų (atliekant kasdieninę 2-jų lygių kokybės kontrolę) kiekį,
numatomam nurodytam tyrimų skaičiui per 12 mėn. Atlikimui.
</t>
  </si>
  <si>
    <t>4. Visos siūlomos prekės turi būti originalios, tinkamos darbui siūlomiems analizatoriams. (Pateikti gamintojo patvirtinimą )</t>
  </si>
  <si>
    <t>5. Reagentų galiojimo terminas ne trumpesnis kaip 6 mėnesiai nuo pasirašymo dienos.</t>
  </si>
  <si>
    <t>Tyrimo priemones reikalingas tiksliam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</si>
  <si>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Roche kodas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</si>
</sst>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0.00_);[Red]\(&quot;$&quot;#,##0.00\)"/>
    <numFmt numFmtId="165" formatCode="_(* #,##0.00_);_(* \(#,##0.00\);_(* &quot;-&quot;??_);_(@_)"/>
    <numFmt numFmtId="166" formatCode="_(* #,##0.0_);_(* \(#,##0.0\);_(* &quot;-&quot;??_);_(@_)"/>
    <numFmt numFmtId="167" formatCode="_(* #,##0_);_(* \(#,##0\);_(* &quot;-&quot;??_);_(@_)"/>
    <numFmt numFmtId="168" formatCode="0.000%"/>
  </numFmts>
  <fonts count="33" x14ac:knownFonts="1">
    <font>
      <sz val="11"/>
      <color theme="1"/>
      <name val="Calibri"/>
      <family val="2"/>
      <charset val="186"/>
      <scheme val="minor"/>
    </font>
    <font>
      <b/>
      <sz val="10"/>
      <color rgb="FF000000"/>
      <name val="Times New Roman"/>
      <family val="1"/>
    </font>
    <font>
      <sz val="11"/>
      <color rgb="FF000000"/>
      <name val="Times New Roman"/>
      <family val="1"/>
    </font>
    <font>
      <sz val="11"/>
      <color indexed="8"/>
      <name val="Times New Roman"/>
      <family val="1"/>
    </font>
    <font>
      <sz val="11"/>
      <color theme="1"/>
      <name val="Times New Roman"/>
      <family val="1"/>
    </font>
    <font>
      <sz val="11"/>
      <name val="Times New Roman"/>
      <family val="1"/>
    </font>
    <font>
      <b/>
      <sz val="11"/>
      <color rgb="FF000000"/>
      <name val="Times New Roman"/>
      <family val="1"/>
    </font>
    <font>
      <b/>
      <sz val="11"/>
      <color theme="1"/>
      <name val="Calibri"/>
      <family val="2"/>
      <scheme val="minor"/>
    </font>
    <font>
      <sz val="10"/>
      <name val="Arial"/>
      <family val="2"/>
    </font>
    <font>
      <sz val="10"/>
      <color theme="1"/>
      <name val="Times New Roman"/>
      <family val="1"/>
    </font>
    <font>
      <b/>
      <sz val="10"/>
      <color theme="1"/>
      <name val="Times New Roman"/>
      <family val="1"/>
    </font>
    <font>
      <b/>
      <i/>
      <sz val="10"/>
      <color indexed="8"/>
      <name val="Times New Roman"/>
      <family val="1"/>
    </font>
    <font>
      <b/>
      <i/>
      <sz val="10"/>
      <color theme="1"/>
      <name val="Times New Roman"/>
      <family val="1"/>
    </font>
    <font>
      <sz val="11"/>
      <color theme="1"/>
      <name val="Calibri"/>
      <family val="2"/>
      <charset val="186"/>
      <scheme val="minor"/>
    </font>
    <font>
      <b/>
      <sz val="11"/>
      <color theme="1"/>
      <name val="Times New Roman"/>
      <family val="1"/>
    </font>
    <font>
      <b/>
      <sz val="9"/>
      <color indexed="81"/>
      <name val="Tahoma"/>
      <family val="2"/>
    </font>
    <font>
      <b/>
      <sz val="11"/>
      <color theme="1"/>
      <name val="Calibri"/>
      <family val="2"/>
      <charset val="186"/>
      <scheme val="minor"/>
    </font>
    <font>
      <b/>
      <sz val="11"/>
      <color theme="1"/>
      <name val="Times New Roman"/>
      <family val="1"/>
      <charset val="186"/>
    </font>
    <font>
      <sz val="10"/>
      <color rgb="FF00000A"/>
      <name val="Times New Roman"/>
      <family val="1"/>
    </font>
    <font>
      <sz val="10"/>
      <name val="Times New Roman"/>
      <family val="1"/>
    </font>
    <font>
      <sz val="10"/>
      <name val="Times New Roman"/>
      <family val="1"/>
      <charset val="186"/>
    </font>
    <font>
      <sz val="10"/>
      <color theme="1"/>
      <name val="Times New Roman"/>
      <family val="1"/>
      <charset val="186"/>
    </font>
    <font>
      <sz val="11"/>
      <color theme="1"/>
      <name val="Times New Roman"/>
      <family val="1"/>
      <charset val="186"/>
    </font>
    <font>
      <b/>
      <i/>
      <sz val="11"/>
      <color theme="1"/>
      <name val="Times New Roman"/>
      <family val="1"/>
    </font>
    <font>
      <sz val="8"/>
      <color theme="1"/>
      <name val="Times New Roman"/>
      <family val="1"/>
      <charset val="186"/>
    </font>
    <font>
      <b/>
      <sz val="11"/>
      <color rgb="FF00000A"/>
      <name val="Times New Roman"/>
      <family val="1"/>
      <charset val="186"/>
    </font>
    <font>
      <b/>
      <sz val="10"/>
      <color theme="1"/>
      <name val="Times New Roman"/>
      <family val="1"/>
      <charset val="186"/>
    </font>
    <font>
      <b/>
      <sz val="10"/>
      <color rgb="FF000000"/>
      <name val="Times New Roman"/>
      <family val="1"/>
      <charset val="186"/>
    </font>
    <font>
      <b/>
      <sz val="10"/>
      <color rgb="FF00000A"/>
      <name val="Times New Roman"/>
      <family val="1"/>
    </font>
    <font>
      <i/>
      <sz val="8"/>
      <color theme="1"/>
      <name val="Times New Roman"/>
      <family val="1"/>
      <charset val="186"/>
    </font>
    <font>
      <b/>
      <i/>
      <sz val="11"/>
      <color theme="1"/>
      <name val="Times New Roman"/>
      <family val="1"/>
      <charset val="186"/>
    </font>
    <font>
      <b/>
      <sz val="10"/>
      <name val="Times New Roman"/>
      <family val="1"/>
    </font>
    <font>
      <sz val="10"/>
      <name val="Arial"/>
      <family val="2"/>
      <charset val="186"/>
    </font>
  </fonts>
  <fills count="9">
    <fill>
      <patternFill patternType="none"/>
    </fill>
    <fill>
      <patternFill patternType="gray125"/>
    </fill>
    <fill>
      <patternFill patternType="solid">
        <fgColor rgb="FFC0C0C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7"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top/>
      <bottom style="double">
        <color indexed="64"/>
      </bottom>
      <diagonal/>
    </border>
    <border>
      <left style="thin">
        <color indexed="64"/>
      </left>
      <right/>
      <top/>
      <bottom style="double">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8" fillId="0" borderId="0"/>
    <xf numFmtId="165" fontId="13" fillId="0" borderId="0" applyFont="0" applyFill="0" applyBorder="0" applyAlignment="0" applyProtection="0"/>
    <xf numFmtId="9" fontId="13" fillId="0" borderId="0" applyFont="0" applyFill="0" applyBorder="0" applyAlignment="0" applyProtection="0"/>
    <xf numFmtId="0" fontId="32" fillId="0" borderId="0"/>
  </cellStyleXfs>
  <cellXfs count="206">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49" fontId="3" fillId="0" borderId="1" xfId="0" applyNumberFormat="1" applyFont="1" applyFill="1" applyBorder="1" applyAlignment="1">
      <alignment horizontal="center" vertical="top"/>
    </xf>
    <xf numFmtId="0" fontId="4" fillId="0" borderId="1" xfId="0" applyFont="1" applyBorder="1"/>
    <xf numFmtId="0" fontId="3" fillId="0" borderId="1" xfId="0" applyFont="1" applyFill="1" applyBorder="1" applyAlignment="1">
      <alignment horizontal="center" vertical="top"/>
    </xf>
    <xf numFmtId="0" fontId="0" fillId="4" borderId="1" xfId="0" applyFill="1" applyBorder="1"/>
    <xf numFmtId="0" fontId="7" fillId="0" borderId="0" xfId="0" applyFont="1"/>
    <xf numFmtId="0" fontId="4" fillId="0" borderId="3" xfId="0" applyFont="1" applyBorder="1"/>
    <xf numFmtId="0" fontId="0" fillId="0" borderId="4" xfId="0" applyBorder="1"/>
    <xf numFmtId="0" fontId="0" fillId="0" borderId="5" xfId="0" applyBorder="1"/>
    <xf numFmtId="0" fontId="3" fillId="0" borderId="6" xfId="0" applyFont="1" applyFill="1" applyBorder="1" applyAlignment="1">
      <alignment horizontal="center" vertical="top"/>
    </xf>
    <xf numFmtId="49" fontId="3" fillId="0" borderId="6" xfId="0" applyNumberFormat="1" applyFont="1" applyFill="1" applyBorder="1" applyAlignment="1">
      <alignment horizontal="center" vertical="top"/>
    </xf>
    <xf numFmtId="0" fontId="0" fillId="0" borderId="0" xfId="0" applyBorder="1"/>
    <xf numFmtId="0" fontId="4" fillId="0" borderId="1" xfId="0" applyFont="1" applyBorder="1" applyAlignment="1">
      <alignment horizontal="center"/>
    </xf>
    <xf numFmtId="0" fontId="4" fillId="0" borderId="3" xfId="0" applyFont="1" applyBorder="1" applyAlignment="1">
      <alignment horizontal="center"/>
    </xf>
    <xf numFmtId="0" fontId="0" fillId="0" borderId="7" xfId="0" applyBorder="1"/>
    <xf numFmtId="0" fontId="7" fillId="0" borderId="0" xfId="0" applyFont="1" applyAlignment="1">
      <alignment horizontal="center"/>
    </xf>
    <xf numFmtId="0" fontId="0" fillId="0" borderId="8" xfId="0" applyBorder="1"/>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6"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7" fillId="0" borderId="0" xfId="0" applyFont="1" applyBorder="1" applyAlignment="1">
      <alignment horizontal="right"/>
    </xf>
    <xf numFmtId="0" fontId="0" fillId="0" borderId="0" xfId="0" applyBorder="1" applyAlignment="1">
      <alignment horizontal="right"/>
    </xf>
    <xf numFmtId="49" fontId="3" fillId="0" borderId="3" xfId="0" applyNumberFormat="1" applyFont="1" applyFill="1" applyBorder="1" applyAlignment="1">
      <alignment horizontal="center" vertical="top"/>
    </xf>
    <xf numFmtId="0" fontId="3" fillId="0" borderId="3" xfId="0" applyFont="1" applyFill="1" applyBorder="1" applyAlignment="1">
      <alignment horizontal="center" vertical="top"/>
    </xf>
    <xf numFmtId="0" fontId="4" fillId="0" borderId="6" xfId="0" applyFont="1" applyBorder="1"/>
    <xf numFmtId="49" fontId="3" fillId="5" borderId="3" xfId="0" applyNumberFormat="1" applyFont="1" applyFill="1" applyBorder="1" applyAlignment="1">
      <alignment horizontal="center" vertical="top"/>
    </xf>
    <xf numFmtId="0" fontId="3" fillId="5" borderId="3" xfId="0" applyFont="1" applyFill="1" applyBorder="1" applyAlignment="1">
      <alignment horizontal="center" vertical="top"/>
    </xf>
    <xf numFmtId="0" fontId="4" fillId="5" borderId="3" xfId="0" applyFont="1" applyFill="1" applyBorder="1"/>
    <xf numFmtId="49" fontId="3" fillId="4" borderId="3" xfId="0" applyNumberFormat="1" applyFont="1" applyFill="1" applyBorder="1" applyAlignment="1">
      <alignment horizontal="center" vertical="top"/>
    </xf>
    <xf numFmtId="0" fontId="4" fillId="4" borderId="3" xfId="0" applyFont="1" applyFill="1" applyBorder="1"/>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4" fillId="0" borderId="0" xfId="0" applyFont="1" applyBorder="1" applyAlignment="1">
      <alignment horizontal="center"/>
    </xf>
    <xf numFmtId="0" fontId="4" fillId="0" borderId="6" xfId="0" applyFont="1" applyBorder="1" applyAlignment="1">
      <alignment horizontal="center"/>
    </xf>
    <xf numFmtId="0" fontId="4" fillId="4" borderId="1" xfId="0" applyFont="1" applyFill="1" applyBorder="1" applyAlignment="1">
      <alignment horizontal="center"/>
    </xf>
    <xf numFmtId="0" fontId="10" fillId="4" borderId="1" xfId="0" applyFont="1" applyFill="1" applyBorder="1" applyAlignment="1">
      <alignment horizontal="center"/>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0" fillId="0" borderId="13" xfId="0" applyBorder="1"/>
    <xf numFmtId="0" fontId="4" fillId="0" borderId="14" xfId="0" applyFont="1" applyBorder="1" applyAlignment="1">
      <alignment horizontal="center"/>
    </xf>
    <xf numFmtId="0" fontId="0" fillId="0" borderId="15" xfId="0" applyBorder="1"/>
    <xf numFmtId="0" fontId="4" fillId="0" borderId="16" xfId="0" applyFont="1" applyBorder="1" applyAlignment="1">
      <alignment horizontal="center" vertical="center"/>
    </xf>
    <xf numFmtId="0" fontId="11" fillId="4" borderId="3" xfId="0" applyFont="1" applyFill="1" applyBorder="1" applyAlignment="1">
      <alignment horizontal="center" vertical="top"/>
    </xf>
    <xf numFmtId="0" fontId="12" fillId="4" borderId="1" xfId="0" applyFont="1" applyFill="1" applyBorder="1" applyAlignment="1">
      <alignment horizontal="center"/>
    </xf>
    <xf numFmtId="0" fontId="4" fillId="0" borderId="17" xfId="0" applyFont="1" applyBorder="1" applyAlignment="1">
      <alignment horizontal="center" vertical="center"/>
    </xf>
    <xf numFmtId="0" fontId="12" fillId="4"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0" borderId="1" xfId="0" applyFont="1" applyBorder="1" applyAlignment="1">
      <alignment horizontal="center" vertical="center" wrapText="1"/>
    </xf>
    <xf numFmtId="0" fontId="14" fillId="0" borderId="1" xfId="0" applyFont="1" applyBorder="1" applyAlignment="1">
      <alignment horizontal="center" vertical="center"/>
    </xf>
    <xf numFmtId="0" fontId="4" fillId="6" borderId="1" xfId="0" applyFont="1" applyFill="1" applyBorder="1" applyAlignment="1">
      <alignment horizontal="center"/>
    </xf>
    <xf numFmtId="165" fontId="0" fillId="0" borderId="0" xfId="2" applyFont="1"/>
    <xf numFmtId="167" fontId="0" fillId="0" borderId="0" xfId="2" applyNumberFormat="1" applyFont="1"/>
    <xf numFmtId="9" fontId="0" fillId="0" borderId="0" xfId="3" applyFont="1"/>
    <xf numFmtId="0" fontId="0" fillId="0" borderId="0" xfId="0" applyAlignment="1">
      <alignment wrapText="1"/>
    </xf>
    <xf numFmtId="0" fontId="0" fillId="0" borderId="0" xfId="0" applyNumberFormat="1" applyAlignment="1">
      <alignment horizontal="center"/>
    </xf>
    <xf numFmtId="0" fontId="0" fillId="0" borderId="0" xfId="0" applyNumberFormat="1"/>
    <xf numFmtId="0" fontId="0" fillId="0" borderId="12" xfId="0" applyNumberFormat="1" applyBorder="1"/>
    <xf numFmtId="167" fontId="0" fillId="0" borderId="0" xfId="0" applyNumberFormat="1"/>
    <xf numFmtId="165" fontId="0" fillId="0" borderId="0" xfId="0" applyNumberFormat="1"/>
    <xf numFmtId="0" fontId="1" fillId="2" borderId="9" xfId="0" applyFont="1" applyFill="1" applyBorder="1" applyAlignment="1">
      <alignment horizontal="center" vertical="center" wrapText="1"/>
    </xf>
    <xf numFmtId="0" fontId="16" fillId="0" borderId="0" xfId="0" applyNumberFormat="1" applyFont="1"/>
    <xf numFmtId="167" fontId="16" fillId="0" borderId="0" xfId="2" applyNumberFormat="1" applyFont="1"/>
    <xf numFmtId="0" fontId="16" fillId="0" borderId="0" xfId="0" applyFont="1"/>
    <xf numFmtId="0" fontId="16" fillId="4" borderId="1" xfId="0" applyFont="1" applyFill="1" applyBorder="1"/>
    <xf numFmtId="167" fontId="16" fillId="0" borderId="0" xfId="0" applyNumberFormat="1" applyFont="1"/>
    <xf numFmtId="167" fontId="16" fillId="0" borderId="0" xfId="2" applyNumberFormat="1" applyFont="1" applyAlignment="1">
      <alignment wrapText="1"/>
    </xf>
    <xf numFmtId="165" fontId="16" fillId="0" borderId="0" xfId="2" applyNumberFormat="1" applyFont="1" applyAlignment="1">
      <alignment wrapText="1"/>
    </xf>
    <xf numFmtId="0" fontId="0" fillId="0" borderId="0" xfId="0" applyFill="1"/>
    <xf numFmtId="0" fontId="7" fillId="0" borderId="0" xfId="0" applyNumberFormat="1" applyFont="1" applyAlignment="1">
      <alignment horizontal="centerContinuous"/>
    </xf>
    <xf numFmtId="167" fontId="7" fillId="0" borderId="0" xfId="2" applyNumberFormat="1" applyFont="1" applyAlignment="1">
      <alignment horizontal="centerContinuous"/>
    </xf>
    <xf numFmtId="0" fontId="7" fillId="0" borderId="0" xfId="0" applyFont="1" applyAlignment="1">
      <alignment horizontal="centerContinuous"/>
    </xf>
    <xf numFmtId="165" fontId="16" fillId="0" borderId="0" xfId="2" applyFont="1"/>
    <xf numFmtId="167" fontId="7" fillId="0" borderId="0" xfId="2" applyNumberFormat="1" applyFont="1"/>
    <xf numFmtId="165" fontId="0" fillId="0" borderId="0" xfId="2" applyNumberFormat="1" applyFont="1"/>
    <xf numFmtId="167" fontId="7" fillId="7" borderId="0" xfId="2" applyNumberFormat="1" applyFont="1" applyFill="1"/>
    <xf numFmtId="167" fontId="0" fillId="7" borderId="0" xfId="2" applyNumberFormat="1" applyFont="1" applyFill="1"/>
    <xf numFmtId="168" fontId="0" fillId="0" borderId="0" xfId="0" applyNumberFormat="1"/>
    <xf numFmtId="164" fontId="16" fillId="0" borderId="0" xfId="0" applyNumberFormat="1" applyFont="1"/>
    <xf numFmtId="0" fontId="7" fillId="0" borderId="0" xfId="0" applyFont="1" applyAlignment="1">
      <alignment wrapText="1"/>
    </xf>
    <xf numFmtId="167" fontId="0" fillId="0" borderId="0" xfId="3" applyNumberFormat="1" applyFont="1"/>
    <xf numFmtId="0" fontId="2" fillId="8" borderId="1" xfId="0" applyFont="1" applyFill="1" applyBorder="1" applyAlignment="1">
      <alignment horizontal="center" vertical="center"/>
    </xf>
    <xf numFmtId="0" fontId="4" fillId="8" borderId="1" xfId="0" applyFont="1" applyFill="1" applyBorder="1" applyAlignment="1">
      <alignment horizontal="center" vertical="center"/>
    </xf>
    <xf numFmtId="49" fontId="5" fillId="8" borderId="1" xfId="0" applyNumberFormat="1" applyFont="1" applyFill="1" applyBorder="1" applyAlignment="1" applyProtection="1">
      <alignment horizontal="center"/>
      <protection locked="0"/>
    </xf>
    <xf numFmtId="0" fontId="5" fillId="8" borderId="1" xfId="0" applyFont="1" applyFill="1" applyBorder="1" applyAlignment="1" applyProtection="1">
      <alignment horizontal="center"/>
      <protection locked="0"/>
    </xf>
    <xf numFmtId="0" fontId="4" fillId="8" borderId="1" xfId="0" applyFont="1" applyFill="1" applyBorder="1"/>
    <xf numFmtId="49" fontId="3" fillId="8" borderId="1" xfId="0" applyNumberFormat="1" applyFont="1" applyFill="1" applyBorder="1" applyAlignment="1">
      <alignment horizontal="center" vertical="top"/>
    </xf>
    <xf numFmtId="0" fontId="3" fillId="8" borderId="1" xfId="0" applyFont="1" applyFill="1" applyBorder="1" applyAlignment="1">
      <alignment horizontal="center" vertical="top"/>
    </xf>
    <xf numFmtId="0" fontId="4" fillId="8" borderId="1" xfId="0" applyFont="1" applyFill="1" applyBorder="1" applyAlignment="1">
      <alignment horizontal="center"/>
    </xf>
    <xf numFmtId="0" fontId="4" fillId="8" borderId="3" xfId="0" applyFont="1" applyFill="1" applyBorder="1" applyAlignment="1">
      <alignment horizontal="center"/>
    </xf>
    <xf numFmtId="167" fontId="7" fillId="0" borderId="0" xfId="2" applyNumberFormat="1" applyFont="1" applyAlignment="1">
      <alignment wrapText="1"/>
    </xf>
    <xf numFmtId="0" fontId="5" fillId="8"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0" fontId="4" fillId="8" borderId="9" xfId="0" applyFont="1" applyFill="1" applyBorder="1" applyAlignment="1">
      <alignment horizontal="center" vertical="center"/>
    </xf>
    <xf numFmtId="0" fontId="6"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167" fontId="7" fillId="0" borderId="0" xfId="2" applyNumberFormat="1" applyFont="1" applyAlignment="1">
      <alignment horizontal="right"/>
    </xf>
    <xf numFmtId="9" fontId="0" fillId="0" borderId="0" xfId="0" applyNumberFormat="1" applyAlignment="1">
      <alignment wrapText="1"/>
    </xf>
    <xf numFmtId="166" fontId="7" fillId="0" borderId="0" xfId="0" applyNumberFormat="1" applyFont="1" applyAlignment="1">
      <alignment horizontal="right"/>
    </xf>
    <xf numFmtId="9" fontId="7" fillId="0" borderId="0" xfId="3" applyFont="1"/>
    <xf numFmtId="167" fontId="0" fillId="0" borderId="18" xfId="2" applyNumberFormat="1" applyFont="1" applyBorder="1"/>
    <xf numFmtId="167" fontId="7" fillId="0" borderId="12" xfId="2" applyNumberFormat="1" applyFont="1" applyBorder="1"/>
    <xf numFmtId="9" fontId="7" fillId="0" borderId="12" xfId="3" applyFont="1" applyBorder="1"/>
    <xf numFmtId="167" fontId="7" fillId="0" borderId="12" xfId="0" applyNumberFormat="1" applyFont="1" applyBorder="1"/>
    <xf numFmtId="167" fontId="7" fillId="0" borderId="19" xfId="0" applyNumberFormat="1" applyFont="1" applyBorder="1"/>
    <xf numFmtId="167" fontId="7" fillId="0" borderId="20" xfId="2" applyNumberFormat="1" applyFont="1" applyBorder="1"/>
    <xf numFmtId="0" fontId="7" fillId="0" borderId="20" xfId="0" applyFont="1" applyBorder="1"/>
    <xf numFmtId="0" fontId="7" fillId="0" borderId="21" xfId="0" applyFont="1" applyBorder="1"/>
    <xf numFmtId="167" fontId="0" fillId="0" borderId="23" xfId="2" applyNumberFormat="1" applyFont="1" applyBorder="1"/>
    <xf numFmtId="167" fontId="7" fillId="0" borderId="22" xfId="2" applyNumberFormat="1" applyFont="1" applyBorder="1" applyAlignment="1">
      <alignment horizontal="right"/>
    </xf>
    <xf numFmtId="167" fontId="7" fillId="0" borderId="24" xfId="2" applyNumberFormat="1" applyFont="1" applyBorder="1" applyAlignment="1">
      <alignment horizontal="right"/>
    </xf>
    <xf numFmtId="0" fontId="17" fillId="0" borderId="0" xfId="0" applyFont="1" applyFill="1" applyBorder="1" applyAlignment="1">
      <alignment horizontal="center" vertical="top" wrapText="1"/>
    </xf>
    <xf numFmtId="2" fontId="9" fillId="0" borderId="0" xfId="0" applyNumberFormat="1" applyFont="1" applyAlignment="1">
      <alignment horizontal="center"/>
    </xf>
    <xf numFmtId="2" fontId="0" fillId="0" borderId="0" xfId="0" applyNumberFormat="1"/>
    <xf numFmtId="0" fontId="18" fillId="0" borderId="1" xfId="0" applyFont="1" applyBorder="1" applyAlignment="1">
      <alignment horizontal="left" vertical="top" wrapText="1"/>
    </xf>
    <xf numFmtId="0" fontId="20" fillId="0" borderId="1" xfId="0" applyFont="1" applyBorder="1" applyAlignment="1">
      <alignment horizontal="center" vertical="center"/>
    </xf>
    <xf numFmtId="2" fontId="9" fillId="0" borderId="0" xfId="0" applyNumberFormat="1" applyFont="1" applyAlignment="1">
      <alignment horizontal="center" vertical="center"/>
    </xf>
    <xf numFmtId="2" fontId="21" fillId="0" borderId="1" xfId="0" applyNumberFormat="1" applyFont="1" applyBorder="1" applyAlignment="1">
      <alignment horizontal="center" vertical="center"/>
    </xf>
    <xf numFmtId="0" fontId="22" fillId="0" borderId="1" xfId="0" applyFont="1" applyBorder="1" applyAlignment="1">
      <alignment vertical="top"/>
    </xf>
    <xf numFmtId="0" fontId="22" fillId="0" borderId="0" xfId="0" applyFont="1"/>
    <xf numFmtId="0" fontId="17" fillId="0" borderId="0" xfId="0" applyFont="1" applyAlignment="1">
      <alignment horizontal="center"/>
    </xf>
    <xf numFmtId="0" fontId="24" fillId="0" borderId="0" xfId="0" applyFont="1" applyAlignment="1">
      <alignment vertical="top"/>
    </xf>
    <xf numFmtId="0" fontId="25" fillId="0" borderId="1" xfId="0" applyFont="1" applyBorder="1" applyAlignment="1">
      <alignment horizontal="center" vertical="top" wrapText="1"/>
    </xf>
    <xf numFmtId="0" fontId="17" fillId="0" borderId="1" xfId="0" applyFont="1" applyBorder="1" applyAlignment="1">
      <alignment horizontal="center" vertical="top" wrapText="1"/>
    </xf>
    <xf numFmtId="0" fontId="17" fillId="0" borderId="12" xfId="0" applyFont="1" applyFill="1" applyBorder="1" applyAlignment="1">
      <alignment horizontal="center" vertical="top" wrapText="1"/>
    </xf>
    <xf numFmtId="0" fontId="22" fillId="0" borderId="1" xfId="0" applyFont="1" applyBorder="1" applyAlignment="1">
      <alignment horizontal="center" vertical="top"/>
    </xf>
    <xf numFmtId="0" fontId="22" fillId="0" borderId="1" xfId="0" applyFont="1" applyBorder="1"/>
    <xf numFmtId="0" fontId="21" fillId="0" borderId="1" xfId="0" applyFont="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center" vertical="center"/>
    </xf>
    <xf numFmtId="0" fontId="21" fillId="0" borderId="1" xfId="0" applyFont="1" applyBorder="1" applyAlignment="1">
      <alignment horizontal="center" vertical="center"/>
    </xf>
    <xf numFmtId="2" fontId="21" fillId="0" borderId="1" xfId="0" applyNumberFormat="1" applyFont="1" applyBorder="1" applyAlignment="1">
      <alignment horizontal="center" vertical="top"/>
    </xf>
    <xf numFmtId="0" fontId="21" fillId="0" borderId="1" xfId="0" applyFont="1" applyBorder="1" applyAlignment="1">
      <alignment horizontal="center" vertical="top"/>
    </xf>
    <xf numFmtId="0" fontId="26" fillId="0" borderId="1" xfId="0" applyFont="1" applyBorder="1" applyAlignment="1">
      <alignment horizontal="left" vertical="top" wrapText="1"/>
    </xf>
    <xf numFmtId="0" fontId="26" fillId="0" borderId="1" xfId="0" applyFont="1" applyBorder="1" applyAlignment="1">
      <alignment horizontal="center" vertical="top"/>
    </xf>
    <xf numFmtId="0" fontId="9" fillId="0" borderId="1" xfId="0" applyFont="1" applyBorder="1" applyAlignment="1">
      <alignment horizontal="center" vertical="center" wrapText="1"/>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21" fillId="0" borderId="1" xfId="0" applyFont="1" applyBorder="1" applyAlignment="1">
      <alignment horizontal="left" vertical="center"/>
    </xf>
    <xf numFmtId="0" fontId="18" fillId="0" borderId="1" xfId="0" applyFont="1" applyBorder="1" applyAlignment="1">
      <alignment horizontal="left" vertical="center"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26" fillId="0" borderId="1" xfId="0" applyFont="1" applyBorder="1" applyAlignment="1">
      <alignment horizontal="left" vertical="center"/>
    </xf>
    <xf numFmtId="0" fontId="20" fillId="0" borderId="1" xfId="0" applyFont="1" applyBorder="1" applyAlignment="1">
      <alignment horizontal="center" vertical="center" wrapText="1"/>
    </xf>
    <xf numFmtId="0" fontId="27" fillId="0" borderId="1" xfId="0" applyFont="1" applyBorder="1" applyAlignment="1">
      <alignment horizontal="left" vertical="top" wrapText="1"/>
    </xf>
    <xf numFmtId="0" fontId="28" fillId="0" borderId="1" xfId="0" applyFont="1" applyBorder="1" applyAlignment="1">
      <alignment horizontal="left" vertical="top" wrapText="1"/>
    </xf>
    <xf numFmtId="2" fontId="10" fillId="0" borderId="1" xfId="0" applyNumberFormat="1" applyFont="1" applyBorder="1" applyAlignment="1">
      <alignment horizontal="center"/>
    </xf>
    <xf numFmtId="0" fontId="17" fillId="5" borderId="0" xfId="0" applyFont="1" applyFill="1" applyBorder="1" applyAlignment="1">
      <alignment horizontal="center" vertical="top" wrapText="1"/>
    </xf>
    <xf numFmtId="0" fontId="9" fillId="0" borderId="0" xfId="0" applyFont="1" applyAlignment="1">
      <alignment horizontal="center"/>
    </xf>
    <xf numFmtId="0" fontId="31" fillId="0" borderId="1" xfId="0" applyFont="1" applyBorder="1" applyAlignment="1">
      <alignment horizontal="left" vertical="top" wrapText="1"/>
    </xf>
    <xf numFmtId="0" fontId="1" fillId="0" borderId="1" xfId="0" applyFont="1" applyBorder="1"/>
    <xf numFmtId="2" fontId="10" fillId="0" borderId="1" xfId="0" applyNumberFormat="1" applyFont="1" applyBorder="1" applyAlignment="1">
      <alignment horizontal="center" vertical="top"/>
    </xf>
    <xf numFmtId="0" fontId="22" fillId="0" borderId="1" xfId="0" applyFont="1" applyBorder="1" applyAlignment="1">
      <alignment horizontal="left" vertical="top"/>
    </xf>
    <xf numFmtId="0" fontId="26" fillId="0" borderId="0" xfId="0" applyFont="1"/>
    <xf numFmtId="0" fontId="21" fillId="0" borderId="0" xfId="0" applyFont="1"/>
    <xf numFmtId="0" fontId="22" fillId="0" borderId="1" xfId="0" applyFont="1" applyBorder="1" applyAlignment="1">
      <alignment horizontal="center" vertical="center"/>
    </xf>
    <xf numFmtId="0" fontId="9" fillId="0" borderId="1" xfId="0" applyFont="1" applyBorder="1" applyAlignment="1">
      <alignment horizontal="left" vertical="center" wrapText="1"/>
    </xf>
    <xf numFmtId="0" fontId="21" fillId="0" borderId="1" xfId="0" applyFont="1" applyBorder="1" applyAlignment="1">
      <alignment horizontal="center" vertical="top" wrapText="1"/>
    </xf>
    <xf numFmtId="0" fontId="9" fillId="0" borderId="1" xfId="0" applyFont="1" applyBorder="1" applyAlignment="1">
      <alignment horizontal="left" vertical="top" wrapText="1"/>
    </xf>
    <xf numFmtId="0" fontId="21" fillId="0" borderId="3" xfId="0" applyFont="1" applyBorder="1" applyAlignment="1">
      <alignment horizontal="center" vertical="top"/>
    </xf>
    <xf numFmtId="0" fontId="19" fillId="0" borderId="1" xfId="0" applyFont="1" applyBorder="1" applyAlignment="1">
      <alignment horizontal="left" vertical="top" wrapText="1"/>
    </xf>
    <xf numFmtId="49" fontId="9" fillId="0" borderId="17" xfId="0" applyNumberFormat="1" applyFont="1" applyBorder="1" applyAlignment="1">
      <alignment horizontal="center"/>
    </xf>
    <xf numFmtId="49" fontId="9" fillId="0" borderId="12" xfId="0" applyNumberFormat="1" applyFont="1" applyBorder="1"/>
    <xf numFmtId="0" fontId="20" fillId="0" borderId="1" xfId="0" applyFont="1" applyBorder="1" applyAlignment="1">
      <alignment horizontal="center" vertical="top"/>
    </xf>
    <xf numFmtId="167" fontId="22" fillId="0" borderId="0" xfId="2" applyNumberFormat="1" applyFont="1"/>
    <xf numFmtId="2" fontId="21" fillId="5" borderId="1" xfId="0" applyNumberFormat="1" applyFont="1" applyFill="1" applyBorder="1" applyAlignment="1">
      <alignment horizontal="center" vertical="top"/>
    </xf>
    <xf numFmtId="2" fontId="21" fillId="5" borderId="1" xfId="0" applyNumberFormat="1" applyFont="1" applyFill="1" applyBorder="1" applyAlignment="1">
      <alignment horizontal="center" vertical="center"/>
    </xf>
    <xf numFmtId="2" fontId="9" fillId="5" borderId="0" xfId="0" applyNumberFormat="1" applyFont="1" applyFill="1" applyAlignment="1">
      <alignment horizontal="center"/>
    </xf>
    <xf numFmtId="0" fontId="21" fillId="5" borderId="1" xfId="0" applyFont="1" applyFill="1" applyBorder="1" applyAlignment="1">
      <alignment horizontal="center" vertical="top"/>
    </xf>
    <xf numFmtId="0" fontId="17" fillId="0" borderId="12" xfId="0" applyFont="1" applyFill="1" applyBorder="1" applyAlignment="1">
      <alignment horizontal="center" vertical="center" wrapText="1"/>
    </xf>
    <xf numFmtId="0" fontId="7" fillId="0" borderId="8" xfId="0" applyFont="1" applyBorder="1" applyAlignment="1">
      <alignment horizontal="right"/>
    </xf>
    <xf numFmtId="0" fontId="0" fillId="0" borderId="8" xfId="0" applyBorder="1" applyAlignment="1">
      <alignment horizontal="right"/>
    </xf>
    <xf numFmtId="0" fontId="7" fillId="0" borderId="10" xfId="0" applyFont="1" applyBorder="1" applyAlignment="1">
      <alignment horizontal="right"/>
    </xf>
    <xf numFmtId="0" fontId="0" fillId="0" borderId="11" xfId="0" applyBorder="1" applyAlignment="1">
      <alignment horizontal="right"/>
    </xf>
    <xf numFmtId="0" fontId="21" fillId="0" borderId="0" xfId="0" applyFont="1" applyAlignment="1">
      <alignment horizontal="left"/>
    </xf>
    <xf numFmtId="0" fontId="22" fillId="0" borderId="0" xfId="0" applyFont="1" applyAlignment="1">
      <alignment horizontal="right" vertical="top"/>
    </xf>
    <xf numFmtId="0" fontId="17" fillId="0" borderId="0" xfId="0" applyFont="1" applyAlignment="1">
      <alignment horizontal="center"/>
    </xf>
    <xf numFmtId="0" fontId="26" fillId="0" borderId="1" xfId="0" applyFont="1" applyBorder="1" applyAlignment="1">
      <alignment horizontal="center"/>
    </xf>
    <xf numFmtId="0" fontId="17" fillId="0" borderId="1" xfId="0" applyFont="1" applyBorder="1" applyAlignment="1">
      <alignment horizontal="right"/>
    </xf>
    <xf numFmtId="0" fontId="21" fillId="0" borderId="0" xfId="0" applyFont="1" applyAlignment="1">
      <alignment horizontal="left" wrapText="1"/>
    </xf>
    <xf numFmtId="0" fontId="26" fillId="0" borderId="0" xfId="0" applyFont="1" applyAlignment="1">
      <alignment horizontal="left" vertical="top" wrapText="1"/>
    </xf>
    <xf numFmtId="0" fontId="26" fillId="0" borderId="0" xfId="0" applyFont="1" applyAlignment="1">
      <alignment horizontal="left" wrapText="1"/>
    </xf>
    <xf numFmtId="0" fontId="29" fillId="0" borderId="0" xfId="0" applyFont="1" applyAlignment="1">
      <alignment horizontal="center" vertical="top"/>
    </xf>
    <xf numFmtId="0" fontId="22" fillId="0" borderId="0" xfId="0" applyFont="1" applyAlignment="1">
      <alignment horizontal="center" vertical="top"/>
    </xf>
    <xf numFmtId="0" fontId="30" fillId="0" borderId="1" xfId="0" applyFont="1" applyBorder="1" applyAlignment="1">
      <alignment horizontal="center" vertical="top"/>
    </xf>
    <xf numFmtId="0" fontId="17" fillId="0" borderId="27" xfId="0" applyFont="1" applyBorder="1" applyAlignment="1">
      <alignment horizontal="right" vertical="top"/>
    </xf>
    <xf numFmtId="0" fontId="17" fillId="0" borderId="25" xfId="0" applyFont="1" applyBorder="1" applyAlignment="1">
      <alignment horizontal="right" vertical="top"/>
    </xf>
    <xf numFmtId="0" fontId="17" fillId="0" borderId="26" xfId="0" applyFont="1" applyBorder="1" applyAlignment="1">
      <alignment horizontal="right" vertical="top"/>
    </xf>
    <xf numFmtId="0" fontId="21" fillId="0" borderId="0" xfId="0" applyFont="1" applyAlignment="1">
      <alignment horizontal="left" vertical="top"/>
    </xf>
    <xf numFmtId="0" fontId="21" fillId="0" borderId="0" xfId="0" applyFont="1" applyAlignment="1">
      <alignment horizontal="left" vertical="top" wrapText="1"/>
    </xf>
    <xf numFmtId="0" fontId="17" fillId="0" borderId="0" xfId="0" applyFont="1" applyAlignment="1">
      <alignment horizontal="center" vertical="top"/>
    </xf>
    <xf numFmtId="0" fontId="17" fillId="0" borderId="0" xfId="0" applyFont="1" applyAlignment="1">
      <alignment horizontal="left" vertical="top"/>
    </xf>
    <xf numFmtId="0" fontId="24" fillId="0" borderId="0" xfId="0" applyFont="1" applyAlignment="1">
      <alignment horizontal="center" vertical="top"/>
    </xf>
    <xf numFmtId="0" fontId="17" fillId="0" borderId="1" xfId="0" applyFont="1" applyBorder="1" applyAlignment="1">
      <alignment horizontal="right" vertical="top"/>
    </xf>
    <xf numFmtId="0" fontId="17" fillId="0" borderId="0" xfId="0" applyFont="1" applyAlignment="1">
      <alignment horizontal="center" vertical="top" wrapText="1"/>
    </xf>
    <xf numFmtId="0" fontId="17" fillId="0" borderId="0" xfId="0" applyFont="1" applyAlignment="1">
      <alignment vertical="top"/>
    </xf>
    <xf numFmtId="0" fontId="17" fillId="0" borderId="27" xfId="0" applyFont="1" applyBorder="1" applyAlignment="1">
      <alignment horizontal="right"/>
    </xf>
    <xf numFmtId="0" fontId="17" fillId="0" borderId="25" xfId="0" applyFont="1" applyBorder="1" applyAlignment="1">
      <alignment horizontal="right"/>
    </xf>
    <xf numFmtId="0" fontId="17" fillId="0" borderId="26" xfId="0" applyFont="1" applyBorder="1" applyAlignment="1">
      <alignment horizontal="right"/>
    </xf>
  </cellXfs>
  <cellStyles count="5">
    <cellStyle name="Comma" xfId="2" builtinId="3"/>
    <cellStyle name="Normal" xfId="0" builtinId="0"/>
    <cellStyle name="Normal 2" xfId="4"/>
    <cellStyle name="Normal 6" xfId="1"/>
    <cellStyle name="Percent" xfId="3"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43"/>
  <sheetViews>
    <sheetView workbookViewId="0">
      <pane xSplit="2" ySplit="4" topLeftCell="C122" activePane="bottomRight" state="frozen"/>
      <selection pane="topRight" activeCell="C1" sqref="C1"/>
      <selection pane="bottomLeft" activeCell="A5" sqref="A5"/>
      <selection pane="bottomRight" activeCell="P134" sqref="P134"/>
    </sheetView>
  </sheetViews>
  <sheetFormatPr defaultRowHeight="15" x14ac:dyDescent="0.25"/>
  <cols>
    <col min="2" max="2" width="14.85546875" customWidth="1"/>
    <col min="3" max="3" width="43.28515625" bestFit="1" customWidth="1"/>
    <col min="4" max="4" width="20" bestFit="1" customWidth="1"/>
    <col min="6" max="6" width="12" style="63" bestFit="1" customWidth="1"/>
    <col min="7" max="7" width="8" style="59" bestFit="1" customWidth="1"/>
    <col min="8" max="8" width="9" style="59" bestFit="1" customWidth="1"/>
    <col min="9" max="9" width="5.28515625" bestFit="1" customWidth="1"/>
    <col min="10" max="10" width="12" customWidth="1"/>
    <col min="11" max="11" width="11.28515625" bestFit="1" customWidth="1"/>
    <col min="12" max="13" width="12" style="59" customWidth="1"/>
    <col min="14" max="15" width="12" customWidth="1"/>
    <col min="16" max="17" width="12.42578125" style="59" customWidth="1"/>
    <col min="18" max="18" width="12" customWidth="1"/>
  </cols>
  <sheetData>
    <row r="1" spans="1:19" x14ac:dyDescent="0.25">
      <c r="F1" s="76" t="s">
        <v>162</v>
      </c>
      <c r="G1" s="77"/>
      <c r="H1" s="77"/>
      <c r="I1" s="78"/>
      <c r="J1" s="78"/>
      <c r="K1" s="78"/>
      <c r="L1" s="82" t="s">
        <v>161</v>
      </c>
      <c r="M1" s="83"/>
      <c r="N1" t="s">
        <v>165</v>
      </c>
    </row>
    <row r="2" spans="1:19" x14ac:dyDescent="0.25">
      <c r="B2" s="7" t="s">
        <v>49</v>
      </c>
      <c r="C2" s="7"/>
      <c r="J2" t="s">
        <v>179</v>
      </c>
      <c r="K2" s="104">
        <v>0.05</v>
      </c>
      <c r="L2" s="83"/>
      <c r="M2" s="83"/>
      <c r="N2" s="84">
        <v>5.9000000000000003E-4</v>
      </c>
      <c r="P2" s="59" t="s">
        <v>169</v>
      </c>
      <c r="Q2" s="59" t="s">
        <v>170</v>
      </c>
    </row>
    <row r="3" spans="1:19" ht="45" x14ac:dyDescent="0.25">
      <c r="A3" s="17" t="s">
        <v>52</v>
      </c>
      <c r="B3" s="1" t="s">
        <v>46</v>
      </c>
      <c r="C3" s="1" t="s">
        <v>47</v>
      </c>
      <c r="D3" s="1" t="s">
        <v>48</v>
      </c>
      <c r="E3" s="1" t="s">
        <v>72</v>
      </c>
      <c r="F3" s="63" t="s">
        <v>156</v>
      </c>
      <c r="G3" s="59" t="s">
        <v>155</v>
      </c>
      <c r="H3" s="59" t="s">
        <v>157</v>
      </c>
      <c r="I3" t="s">
        <v>158</v>
      </c>
      <c r="J3" t="s">
        <v>160</v>
      </c>
      <c r="K3" t="s">
        <v>159</v>
      </c>
      <c r="L3" s="82" t="s">
        <v>155</v>
      </c>
      <c r="M3" s="82" t="s">
        <v>159</v>
      </c>
      <c r="N3" s="61" t="s">
        <v>164</v>
      </c>
      <c r="O3" s="86" t="s">
        <v>166</v>
      </c>
      <c r="P3" s="97" t="s">
        <v>168</v>
      </c>
      <c r="Q3" s="97" t="s">
        <v>171</v>
      </c>
    </row>
    <row r="4" spans="1:19" s="70" customFormat="1" x14ac:dyDescent="0.25">
      <c r="A4" s="17">
        <v>36</v>
      </c>
      <c r="B4" s="1"/>
      <c r="C4" s="1" t="s">
        <v>161</v>
      </c>
      <c r="D4" s="1"/>
      <c r="E4" s="1"/>
      <c r="F4" s="68"/>
      <c r="G4" s="72">
        <f>SUM(G6:G36)</f>
        <v>81715.269999999975</v>
      </c>
      <c r="H4" s="72">
        <f>SUM(H6:H36)</f>
        <v>109335.07999999999</v>
      </c>
      <c r="J4" s="72">
        <f>SUM(J6:J36)</f>
        <v>42700.49</v>
      </c>
      <c r="K4" s="74">
        <f>SUM(K5:K36)</f>
        <v>47541.443800000001</v>
      </c>
      <c r="L4" s="73">
        <f>SUM(L6:L36)</f>
        <v>43270.92</v>
      </c>
      <c r="M4" s="73">
        <f>SUM(M5:M36)</f>
        <v>48548.6538</v>
      </c>
      <c r="N4" s="79">
        <f>-PV($N$2,A4,M4/A4)</f>
        <v>48022.682753193498</v>
      </c>
      <c r="O4" s="79">
        <f>ROUND(N4/A4,0)</f>
        <v>1334</v>
      </c>
      <c r="P4" s="69"/>
      <c r="Q4" s="69"/>
    </row>
    <row r="5" spans="1:19" ht="28.5" x14ac:dyDescent="0.25">
      <c r="A5" s="75"/>
      <c r="B5" s="54"/>
      <c r="C5" s="55" t="s">
        <v>0</v>
      </c>
      <c r="D5" s="55" t="s">
        <v>1</v>
      </c>
      <c r="E5" s="56">
        <v>1</v>
      </c>
      <c r="K5" s="66">
        <f>SUM(G5:G20)*(1+K2)*20%</f>
        <v>9580.7837999999992</v>
      </c>
      <c r="M5" s="81">
        <f>SUM(G5:G20)*1.05*20%</f>
        <v>9580.7837999999992</v>
      </c>
      <c r="N5" s="58"/>
      <c r="O5" s="58"/>
    </row>
    <row r="6" spans="1:19" x14ac:dyDescent="0.25">
      <c r="A6" s="75"/>
      <c r="B6" s="2" t="s">
        <v>2</v>
      </c>
      <c r="C6" s="2" t="s">
        <v>3</v>
      </c>
      <c r="D6" s="2" t="s">
        <v>4</v>
      </c>
      <c r="E6" s="19">
        <v>1</v>
      </c>
      <c r="F6" s="63" t="s">
        <v>143</v>
      </c>
      <c r="G6" s="59">
        <v>564.76</v>
      </c>
      <c r="H6" s="59">
        <v>868.86</v>
      </c>
      <c r="I6" s="60">
        <f>(H6-G6)/H6</f>
        <v>0.34999884906659301</v>
      </c>
      <c r="J6" s="59">
        <v>0</v>
      </c>
      <c r="K6" s="59"/>
      <c r="L6" s="81">
        <f>E6*J6</f>
        <v>0</v>
      </c>
      <c r="M6" s="59">
        <f>K6*E6</f>
        <v>0</v>
      </c>
      <c r="N6" s="58"/>
      <c r="O6" s="58"/>
      <c r="P6" s="59">
        <f>L6</f>
        <v>0</v>
      </c>
      <c r="Q6" s="59">
        <v>0</v>
      </c>
      <c r="R6" s="60"/>
    </row>
    <row r="7" spans="1:19" x14ac:dyDescent="0.25">
      <c r="A7" s="75"/>
      <c r="B7" s="2" t="s">
        <v>5</v>
      </c>
      <c r="C7" s="2" t="s">
        <v>6</v>
      </c>
      <c r="D7" s="2" t="s">
        <v>7</v>
      </c>
      <c r="E7" s="19">
        <v>1</v>
      </c>
      <c r="F7" s="63" t="s">
        <v>144</v>
      </c>
      <c r="G7" s="59">
        <v>122.01</v>
      </c>
      <c r="H7" s="59">
        <v>289.62</v>
      </c>
      <c r="I7" s="60">
        <f t="shared" ref="I7:I20" si="0">(H7-G7)/H7</f>
        <v>0.57872384503832608</v>
      </c>
      <c r="J7" s="59">
        <v>0</v>
      </c>
      <c r="K7" s="59"/>
      <c r="L7" s="81">
        <f t="shared" ref="L7:L20" si="1">E7*J7</f>
        <v>0</v>
      </c>
      <c r="M7" s="59">
        <f t="shared" ref="M7:M20" si="2">K7*E7</f>
        <v>0</v>
      </c>
      <c r="N7" s="58"/>
      <c r="O7" s="58"/>
      <c r="P7" s="59">
        <f t="shared" ref="P7:P8" si="3">L7</f>
        <v>0</v>
      </c>
      <c r="Q7" s="59">
        <v>0</v>
      </c>
      <c r="R7" s="60"/>
    </row>
    <row r="8" spans="1:19" x14ac:dyDescent="0.25">
      <c r="A8" s="75"/>
      <c r="B8" s="2" t="s">
        <v>8</v>
      </c>
      <c r="C8" s="2" t="s">
        <v>9</v>
      </c>
      <c r="D8" s="2" t="s">
        <v>10</v>
      </c>
      <c r="E8" s="19">
        <v>1</v>
      </c>
      <c r="F8" s="63" t="s">
        <v>145</v>
      </c>
      <c r="G8" s="59">
        <v>327.9</v>
      </c>
      <c r="H8" s="59">
        <v>434.43</v>
      </c>
      <c r="I8" s="60">
        <f t="shared" si="0"/>
        <v>0.24521787169394385</v>
      </c>
      <c r="J8" s="59">
        <v>0</v>
      </c>
      <c r="K8" s="59"/>
      <c r="L8" s="81">
        <f t="shared" si="1"/>
        <v>0</v>
      </c>
      <c r="M8" s="59">
        <f t="shared" si="2"/>
        <v>0</v>
      </c>
      <c r="N8" s="58"/>
      <c r="O8" s="58"/>
      <c r="P8" s="59">
        <f t="shared" si="3"/>
        <v>0</v>
      </c>
      <c r="Q8" s="59">
        <v>0</v>
      </c>
      <c r="R8" s="60"/>
    </row>
    <row r="9" spans="1:19" x14ac:dyDescent="0.25">
      <c r="A9" s="75"/>
      <c r="B9" s="88" t="s">
        <v>11</v>
      </c>
      <c r="C9" s="88" t="s">
        <v>12</v>
      </c>
      <c r="D9" s="88">
        <v>11927</v>
      </c>
      <c r="E9" s="89">
        <v>1</v>
      </c>
      <c r="F9" s="62" t="s">
        <v>139</v>
      </c>
      <c r="G9" s="59">
        <v>26125</v>
      </c>
      <c r="H9" s="59">
        <v>34485</v>
      </c>
      <c r="I9" s="60">
        <f t="shared" si="0"/>
        <v>0.24242424242424243</v>
      </c>
      <c r="J9" s="59">
        <v>6608</v>
      </c>
      <c r="K9" s="59"/>
      <c r="L9" s="81">
        <f t="shared" si="1"/>
        <v>6608</v>
      </c>
      <c r="M9" s="59">
        <f t="shared" si="2"/>
        <v>0</v>
      </c>
      <c r="N9" s="58"/>
      <c r="O9" s="58"/>
      <c r="P9" s="81">
        <f>G9/36</f>
        <v>725.69444444444446</v>
      </c>
      <c r="Q9" s="59">
        <v>0</v>
      </c>
      <c r="R9" s="60"/>
      <c r="S9" s="66"/>
    </row>
    <row r="10" spans="1:19" x14ac:dyDescent="0.25">
      <c r="A10" s="75"/>
      <c r="B10" s="2" t="s">
        <v>13</v>
      </c>
      <c r="C10" s="2" t="s">
        <v>14</v>
      </c>
      <c r="D10" s="2" t="s">
        <v>15</v>
      </c>
      <c r="E10" s="19">
        <v>1</v>
      </c>
      <c r="F10" s="62" t="s">
        <v>146</v>
      </c>
      <c r="G10" s="59">
        <v>2062.5</v>
      </c>
      <c r="H10" s="59">
        <v>2949.38</v>
      </c>
      <c r="I10" s="60">
        <f t="shared" si="0"/>
        <v>0.30070048620388018</v>
      </c>
      <c r="J10" s="59">
        <v>0</v>
      </c>
      <c r="K10" s="59"/>
      <c r="L10" s="81">
        <f t="shared" si="1"/>
        <v>0</v>
      </c>
      <c r="M10" s="59">
        <f t="shared" si="2"/>
        <v>0</v>
      </c>
      <c r="N10" s="58"/>
      <c r="O10" s="58"/>
      <c r="P10" s="59">
        <f t="shared" ref="P10:P20" si="4">L10</f>
        <v>0</v>
      </c>
      <c r="Q10" s="59">
        <v>0</v>
      </c>
      <c r="R10" s="60"/>
    </row>
    <row r="11" spans="1:19" x14ac:dyDescent="0.25">
      <c r="A11" s="75"/>
      <c r="B11" s="2" t="s">
        <v>16</v>
      </c>
      <c r="C11" s="2" t="s">
        <v>17</v>
      </c>
      <c r="D11" s="2" t="s">
        <v>18</v>
      </c>
      <c r="E11" s="19">
        <v>1</v>
      </c>
      <c r="F11" s="62" t="s">
        <v>131</v>
      </c>
      <c r="G11" s="59">
        <v>206.25</v>
      </c>
      <c r="H11" s="59">
        <v>295.89999999999998</v>
      </c>
      <c r="I11" s="60">
        <f t="shared" si="0"/>
        <v>0.30297397769516721</v>
      </c>
      <c r="J11" s="59">
        <v>0</v>
      </c>
      <c r="K11" s="59"/>
      <c r="L11" s="81">
        <f t="shared" si="1"/>
        <v>0</v>
      </c>
      <c r="M11" s="59">
        <f t="shared" si="2"/>
        <v>0</v>
      </c>
      <c r="N11" s="58"/>
      <c r="O11" s="58"/>
      <c r="P11" s="59">
        <f t="shared" si="4"/>
        <v>0</v>
      </c>
      <c r="Q11" s="59">
        <v>0</v>
      </c>
      <c r="R11" s="60"/>
    </row>
    <row r="12" spans="1:19" x14ac:dyDescent="0.25">
      <c r="A12" s="75"/>
      <c r="B12" s="2" t="s">
        <v>19</v>
      </c>
      <c r="C12" s="2" t="s">
        <v>20</v>
      </c>
      <c r="D12" s="2" t="s">
        <v>21</v>
      </c>
      <c r="E12" s="19">
        <v>1</v>
      </c>
      <c r="F12" s="62" t="s">
        <v>132</v>
      </c>
      <c r="G12" s="59">
        <v>940</v>
      </c>
      <c r="H12" s="59">
        <v>1343.1</v>
      </c>
      <c r="I12" s="60">
        <f t="shared" si="0"/>
        <v>0.30012657285384553</v>
      </c>
      <c r="J12" s="59">
        <v>0</v>
      </c>
      <c r="K12" s="59"/>
      <c r="L12" s="81">
        <f t="shared" si="1"/>
        <v>0</v>
      </c>
      <c r="M12" s="59">
        <f t="shared" si="2"/>
        <v>0</v>
      </c>
      <c r="N12" s="58"/>
      <c r="O12" s="58"/>
      <c r="P12" s="59">
        <f t="shared" si="4"/>
        <v>0</v>
      </c>
      <c r="Q12" s="59">
        <v>0</v>
      </c>
      <c r="R12" s="60"/>
    </row>
    <row r="13" spans="1:19" x14ac:dyDescent="0.25">
      <c r="A13" s="75"/>
      <c r="B13" s="2" t="s">
        <v>22</v>
      </c>
      <c r="C13" s="2" t="s">
        <v>23</v>
      </c>
      <c r="D13" s="2">
        <v>11404</v>
      </c>
      <c r="E13" s="19">
        <v>1</v>
      </c>
      <c r="F13" s="62" t="s">
        <v>147</v>
      </c>
      <c r="G13" s="59">
        <v>2062.5</v>
      </c>
      <c r="H13" s="59">
        <v>2949.38</v>
      </c>
      <c r="I13" s="60">
        <f t="shared" si="0"/>
        <v>0.30070048620388018</v>
      </c>
      <c r="J13" s="59">
        <v>0</v>
      </c>
      <c r="K13" s="59"/>
      <c r="L13" s="81">
        <f t="shared" si="1"/>
        <v>0</v>
      </c>
      <c r="M13" s="59">
        <f t="shared" si="2"/>
        <v>0</v>
      </c>
      <c r="N13" s="58"/>
      <c r="O13" s="58"/>
      <c r="P13" s="59">
        <f t="shared" si="4"/>
        <v>0</v>
      </c>
      <c r="Q13" s="59">
        <v>0</v>
      </c>
      <c r="R13" s="60"/>
    </row>
    <row r="14" spans="1:19" x14ac:dyDescent="0.25">
      <c r="A14" s="75"/>
      <c r="B14" s="2" t="s">
        <v>24</v>
      </c>
      <c r="C14" s="2" t="s">
        <v>25</v>
      </c>
      <c r="D14" s="2"/>
      <c r="E14" s="19">
        <v>1</v>
      </c>
      <c r="F14" s="62" t="s">
        <v>148</v>
      </c>
      <c r="G14" s="59">
        <v>21.48</v>
      </c>
      <c r="H14" s="59">
        <v>18.2</v>
      </c>
      <c r="I14" s="60">
        <f t="shared" si="0"/>
        <v>-0.1802197802197803</v>
      </c>
      <c r="J14" s="59">
        <v>0</v>
      </c>
      <c r="K14" s="59"/>
      <c r="L14" s="81">
        <f t="shared" si="1"/>
        <v>0</v>
      </c>
      <c r="M14" s="59">
        <f t="shared" si="2"/>
        <v>0</v>
      </c>
      <c r="N14" s="58"/>
      <c r="O14" s="58"/>
      <c r="P14" s="59">
        <f t="shared" si="4"/>
        <v>0</v>
      </c>
      <c r="Q14" s="59">
        <v>0</v>
      </c>
      <c r="R14" s="60"/>
    </row>
    <row r="15" spans="1:19" x14ac:dyDescent="0.25">
      <c r="A15" s="75"/>
      <c r="B15" s="88" t="s">
        <v>26</v>
      </c>
      <c r="C15" s="88" t="s">
        <v>27</v>
      </c>
      <c r="D15" s="88">
        <v>189</v>
      </c>
      <c r="E15" s="89">
        <v>1</v>
      </c>
      <c r="F15" s="62" t="s">
        <v>133</v>
      </c>
      <c r="G15" s="59">
        <v>4812.5</v>
      </c>
      <c r="H15" s="59">
        <v>6088.5</v>
      </c>
      <c r="I15" s="60">
        <f t="shared" si="0"/>
        <v>0.20957542908762422</v>
      </c>
      <c r="J15" s="59">
        <v>0</v>
      </c>
      <c r="K15" s="59"/>
      <c r="L15" s="81">
        <f t="shared" si="1"/>
        <v>0</v>
      </c>
      <c r="M15" s="59">
        <f t="shared" si="2"/>
        <v>0</v>
      </c>
      <c r="N15" s="58"/>
      <c r="O15" s="58"/>
      <c r="P15" s="59">
        <f t="shared" si="4"/>
        <v>0</v>
      </c>
      <c r="Q15" s="59">
        <v>0</v>
      </c>
      <c r="R15" s="60"/>
    </row>
    <row r="16" spans="1:19" x14ac:dyDescent="0.25">
      <c r="A16" s="75"/>
      <c r="B16" s="88" t="s">
        <v>28</v>
      </c>
      <c r="C16" s="88" t="s">
        <v>29</v>
      </c>
      <c r="D16" s="88">
        <v>116</v>
      </c>
      <c r="E16" s="89">
        <v>1</v>
      </c>
      <c r="F16" s="62" t="s">
        <v>134</v>
      </c>
      <c r="G16" s="59">
        <v>5500</v>
      </c>
      <c r="H16" s="59">
        <v>6957.5</v>
      </c>
      <c r="I16" s="60">
        <f t="shared" si="0"/>
        <v>0.20948616600790515</v>
      </c>
      <c r="J16" s="59">
        <v>0</v>
      </c>
      <c r="K16" s="59"/>
      <c r="L16" s="81">
        <f t="shared" si="1"/>
        <v>0</v>
      </c>
      <c r="M16" s="59">
        <f t="shared" si="2"/>
        <v>0</v>
      </c>
      <c r="N16" s="58"/>
      <c r="O16" s="58"/>
      <c r="P16" s="59">
        <f t="shared" si="4"/>
        <v>0</v>
      </c>
      <c r="Q16" s="59">
        <v>0</v>
      </c>
      <c r="R16" s="60"/>
    </row>
    <row r="17" spans="1:18" x14ac:dyDescent="0.25">
      <c r="A17" s="75"/>
      <c r="B17" s="2" t="s">
        <v>30</v>
      </c>
      <c r="C17" s="2" t="s">
        <v>31</v>
      </c>
      <c r="D17" s="2" t="s">
        <v>32</v>
      </c>
      <c r="E17" s="19">
        <v>1</v>
      </c>
      <c r="F17" s="62" t="s">
        <v>135</v>
      </c>
      <c r="G17" s="59">
        <v>1787.5</v>
      </c>
      <c r="H17" s="59">
        <v>2530</v>
      </c>
      <c r="I17" s="60">
        <f t="shared" si="0"/>
        <v>0.29347826086956524</v>
      </c>
      <c r="J17" s="59">
        <v>0</v>
      </c>
      <c r="K17" s="59"/>
      <c r="L17" s="81">
        <f t="shared" si="1"/>
        <v>0</v>
      </c>
      <c r="M17" s="59">
        <f t="shared" si="2"/>
        <v>0</v>
      </c>
      <c r="N17" s="58"/>
      <c r="O17" s="58"/>
      <c r="P17" s="59">
        <f t="shared" si="4"/>
        <v>0</v>
      </c>
      <c r="Q17" s="59">
        <v>0</v>
      </c>
      <c r="R17" s="60"/>
    </row>
    <row r="18" spans="1:18" x14ac:dyDescent="0.25">
      <c r="A18" s="75"/>
      <c r="B18" s="2" t="s">
        <v>33</v>
      </c>
      <c r="C18" s="2" t="s">
        <v>34</v>
      </c>
      <c r="D18" s="2">
        <v>1114021320</v>
      </c>
      <c r="E18" s="19">
        <v>1</v>
      </c>
      <c r="F18" s="62" t="s">
        <v>136</v>
      </c>
      <c r="G18" s="59">
        <v>721.88</v>
      </c>
      <c r="H18" s="59">
        <v>874.5</v>
      </c>
      <c r="I18" s="60">
        <f t="shared" si="0"/>
        <v>0.17452258433390511</v>
      </c>
      <c r="J18" s="59">
        <v>0</v>
      </c>
      <c r="K18" s="59"/>
      <c r="L18" s="81">
        <f t="shared" si="1"/>
        <v>0</v>
      </c>
      <c r="M18" s="59">
        <f t="shared" si="2"/>
        <v>0</v>
      </c>
      <c r="N18" s="58"/>
      <c r="O18" s="58"/>
      <c r="P18" s="59">
        <f t="shared" si="4"/>
        <v>0</v>
      </c>
      <c r="Q18" s="59">
        <v>0</v>
      </c>
      <c r="R18" s="60"/>
    </row>
    <row r="19" spans="1:18" x14ac:dyDescent="0.25">
      <c r="A19" s="75"/>
      <c r="B19" s="2" t="s">
        <v>35</v>
      </c>
      <c r="C19" s="2" t="s">
        <v>36</v>
      </c>
      <c r="D19" s="2"/>
      <c r="E19" s="19">
        <v>1</v>
      </c>
      <c r="F19" s="62" t="s">
        <v>137</v>
      </c>
      <c r="G19" s="59">
        <v>343.75</v>
      </c>
      <c r="H19" s="59">
        <v>491.7</v>
      </c>
      <c r="I19" s="60">
        <f t="shared" si="0"/>
        <v>0.30089485458612975</v>
      </c>
      <c r="J19" s="59">
        <v>0</v>
      </c>
      <c r="K19" s="59"/>
      <c r="L19" s="81">
        <f t="shared" si="1"/>
        <v>0</v>
      </c>
      <c r="M19" s="59">
        <f t="shared" si="2"/>
        <v>0</v>
      </c>
      <c r="N19" s="58"/>
      <c r="O19" s="58"/>
      <c r="P19" s="59">
        <f t="shared" si="4"/>
        <v>0</v>
      </c>
      <c r="Q19" s="59">
        <v>0</v>
      </c>
      <c r="R19" s="60"/>
    </row>
    <row r="20" spans="1:18" x14ac:dyDescent="0.25">
      <c r="A20" s="75"/>
      <c r="B20" s="2" t="s">
        <v>37</v>
      </c>
      <c r="C20" s="2" t="s">
        <v>38</v>
      </c>
      <c r="D20" s="2"/>
      <c r="E20" s="19">
        <v>1</v>
      </c>
      <c r="F20" s="62" t="s">
        <v>138</v>
      </c>
      <c r="G20" s="59">
        <v>24.75</v>
      </c>
      <c r="H20" s="59">
        <v>36.299999999999997</v>
      </c>
      <c r="I20" s="60">
        <f t="shared" si="0"/>
        <v>0.31818181818181812</v>
      </c>
      <c r="J20" s="59">
        <v>0</v>
      </c>
      <c r="K20" s="59"/>
      <c r="L20" s="81">
        <f t="shared" si="1"/>
        <v>0</v>
      </c>
      <c r="M20" s="59">
        <f t="shared" si="2"/>
        <v>0</v>
      </c>
      <c r="N20" s="58"/>
      <c r="O20" s="58"/>
      <c r="P20" s="59">
        <f t="shared" si="4"/>
        <v>0</v>
      </c>
      <c r="Q20" s="59">
        <v>0</v>
      </c>
      <c r="R20" s="60"/>
    </row>
    <row r="21" spans="1:18" x14ac:dyDescent="0.25">
      <c r="B21" s="6"/>
      <c r="C21" s="22" t="s">
        <v>50</v>
      </c>
      <c r="D21" s="6"/>
      <c r="E21" s="6"/>
      <c r="J21" s="59"/>
      <c r="K21" s="59"/>
      <c r="N21" s="58"/>
      <c r="O21" s="58"/>
    </row>
    <row r="22" spans="1:18" s="70" customFormat="1" x14ac:dyDescent="0.25">
      <c r="B22" s="71"/>
      <c r="C22" s="22" t="s">
        <v>161</v>
      </c>
      <c r="D22" s="71"/>
      <c r="E22" s="71"/>
      <c r="F22" s="68"/>
      <c r="G22" s="69"/>
      <c r="H22" s="69"/>
      <c r="J22" s="69"/>
      <c r="K22" s="69"/>
      <c r="L22" s="69"/>
      <c r="M22" s="69"/>
      <c r="N22" s="79"/>
      <c r="O22" s="79"/>
      <c r="P22" s="69"/>
      <c r="Q22" s="69"/>
    </row>
    <row r="23" spans="1:18" x14ac:dyDescent="0.25">
      <c r="B23" s="93" t="s">
        <v>39</v>
      </c>
      <c r="C23" s="94" t="s">
        <v>12</v>
      </c>
      <c r="D23" s="92"/>
      <c r="E23" s="89">
        <v>1</v>
      </c>
      <c r="F23" s="62" t="s">
        <v>139</v>
      </c>
      <c r="G23" s="59">
        <v>26125</v>
      </c>
      <c r="H23" s="59">
        <v>34485</v>
      </c>
      <c r="I23" s="60">
        <f t="shared" ref="I23:I26" si="5">(H23-G23)/H23</f>
        <v>0.24242424242424243</v>
      </c>
      <c r="J23" s="59">
        <f>G23</f>
        <v>26125</v>
      </c>
      <c r="K23" s="59">
        <f>G23*(1+$K$2)</f>
        <v>27431.25</v>
      </c>
      <c r="L23" s="81">
        <f t="shared" ref="L23:L36" si="6">E23*G23</f>
        <v>26125</v>
      </c>
      <c r="M23" s="59">
        <f t="shared" ref="M23:M26" si="7">K23*E23</f>
        <v>27431.25</v>
      </c>
      <c r="N23" s="58"/>
      <c r="O23" s="58"/>
      <c r="P23" s="59">
        <f>L23/$A$4</f>
        <v>725.69444444444446</v>
      </c>
      <c r="Q23" s="59">
        <f>P23</f>
        <v>725.69444444444446</v>
      </c>
    </row>
    <row r="24" spans="1:18" x14ac:dyDescent="0.25">
      <c r="B24" s="3" t="s">
        <v>40</v>
      </c>
      <c r="C24" s="5" t="s">
        <v>41</v>
      </c>
      <c r="D24" s="4"/>
      <c r="E24" s="19">
        <v>1</v>
      </c>
      <c r="F24" s="62">
        <v>6509932001</v>
      </c>
      <c r="G24" s="59">
        <v>1375</v>
      </c>
      <c r="H24" s="59">
        <v>1969</v>
      </c>
      <c r="I24" s="60">
        <f t="shared" si="5"/>
        <v>0.3016759776536313</v>
      </c>
      <c r="J24" s="59">
        <f t="shared" ref="J24:J26" si="8">G24</f>
        <v>1375</v>
      </c>
      <c r="K24" s="59">
        <f t="shared" ref="K24:K26" si="9">G24*(1+$K$2)</f>
        <v>1443.75</v>
      </c>
      <c r="L24" s="81">
        <f t="shared" si="6"/>
        <v>1375</v>
      </c>
      <c r="M24" s="59">
        <f t="shared" si="7"/>
        <v>1443.75</v>
      </c>
      <c r="N24" s="58"/>
      <c r="O24" s="58"/>
      <c r="P24" s="59">
        <f>L24</f>
        <v>1375</v>
      </c>
      <c r="Q24" s="59">
        <v>0</v>
      </c>
      <c r="R24" s="60"/>
    </row>
    <row r="25" spans="1:18" x14ac:dyDescent="0.25">
      <c r="B25" s="90" t="s">
        <v>42</v>
      </c>
      <c r="C25" s="91" t="s">
        <v>43</v>
      </c>
      <c r="D25" s="92"/>
      <c r="E25" s="89">
        <v>1</v>
      </c>
      <c r="F25" s="62" t="s">
        <v>140</v>
      </c>
      <c r="G25" s="59">
        <v>7000</v>
      </c>
      <c r="H25" s="59">
        <v>10010</v>
      </c>
      <c r="I25" s="60">
        <f t="shared" si="5"/>
        <v>0.30069930069930068</v>
      </c>
      <c r="J25" s="59">
        <f t="shared" si="8"/>
        <v>7000</v>
      </c>
      <c r="K25" s="59">
        <f t="shared" si="9"/>
        <v>7350</v>
      </c>
      <c r="L25" s="81">
        <f t="shared" si="6"/>
        <v>7000</v>
      </c>
      <c r="M25" s="59">
        <f t="shared" si="7"/>
        <v>7350</v>
      </c>
      <c r="N25" s="58"/>
      <c r="O25" s="58"/>
      <c r="P25" s="59">
        <f>L25/$A$4</f>
        <v>194.44444444444446</v>
      </c>
      <c r="Q25" s="59">
        <f>P25</f>
        <v>194.44444444444446</v>
      </c>
      <c r="R25" s="60"/>
    </row>
    <row r="26" spans="1:18" x14ac:dyDescent="0.25">
      <c r="B26" s="30" t="s">
        <v>44</v>
      </c>
      <c r="C26" s="31" t="s">
        <v>45</v>
      </c>
      <c r="D26" s="8"/>
      <c r="E26" s="20">
        <v>1</v>
      </c>
      <c r="F26" s="62" t="s">
        <v>141</v>
      </c>
      <c r="G26" s="59">
        <v>1375</v>
      </c>
      <c r="H26" s="59">
        <v>1966.8</v>
      </c>
      <c r="I26" s="60">
        <f t="shared" si="5"/>
        <v>0.30089485458612975</v>
      </c>
      <c r="J26" s="59">
        <f t="shared" si="8"/>
        <v>1375</v>
      </c>
      <c r="K26" s="59">
        <f t="shared" si="9"/>
        <v>1443.75</v>
      </c>
      <c r="L26" s="81">
        <f t="shared" si="6"/>
        <v>1375</v>
      </c>
      <c r="M26" s="59">
        <f t="shared" si="7"/>
        <v>1443.75</v>
      </c>
      <c r="N26" s="58"/>
      <c r="O26" s="58"/>
      <c r="P26" s="59">
        <f>L26</f>
        <v>1375</v>
      </c>
      <c r="Q26" s="59">
        <v>0</v>
      </c>
      <c r="R26" s="60"/>
    </row>
    <row r="27" spans="1:18" x14ac:dyDescent="0.25">
      <c r="B27" s="36"/>
      <c r="C27" s="50" t="s">
        <v>114</v>
      </c>
      <c r="D27" s="37"/>
      <c r="E27" s="45"/>
      <c r="J27" s="59"/>
      <c r="K27" s="59"/>
      <c r="N27" s="58"/>
      <c r="O27" s="58"/>
    </row>
    <row r="28" spans="1:18" x14ac:dyDescent="0.25">
      <c r="B28" s="33" t="s">
        <v>106</v>
      </c>
      <c r="C28" s="34" t="s">
        <v>98</v>
      </c>
      <c r="D28" s="35"/>
      <c r="E28" s="38">
        <v>6</v>
      </c>
      <c r="F28" s="62" t="str">
        <f>B28</f>
        <v>05014468001</v>
      </c>
      <c r="G28" s="59">
        <v>2.3199999999999998</v>
      </c>
      <c r="H28" s="59">
        <v>3.02</v>
      </c>
      <c r="I28" s="60">
        <f t="shared" ref="I28:I36" si="10">(H28-G28)/H28</f>
        <v>0.23178807947019872</v>
      </c>
      <c r="J28" s="59">
        <f t="shared" ref="J28:J36" si="11">G28</f>
        <v>2.3199999999999998</v>
      </c>
      <c r="K28" s="59">
        <f t="shared" ref="K28:K34" si="12">H28</f>
        <v>3.02</v>
      </c>
      <c r="L28" s="81">
        <f t="shared" si="6"/>
        <v>13.919999999999998</v>
      </c>
      <c r="M28" s="59">
        <f t="shared" ref="M28:M36" si="13">K28*E28</f>
        <v>18.12</v>
      </c>
      <c r="N28" s="58"/>
      <c r="O28" s="58"/>
      <c r="P28" s="59">
        <f>L28</f>
        <v>13.919999999999998</v>
      </c>
      <c r="Q28" s="59">
        <f>P28</f>
        <v>13.919999999999998</v>
      </c>
      <c r="R28" s="60"/>
    </row>
    <row r="29" spans="1:18" x14ac:dyDescent="0.25">
      <c r="B29" s="33" t="s">
        <v>107</v>
      </c>
      <c r="C29" s="34" t="s">
        <v>99</v>
      </c>
      <c r="D29" s="35"/>
      <c r="E29" s="38">
        <v>2</v>
      </c>
      <c r="F29" s="62" t="str">
        <f t="shared" ref="F29:F36" si="14">B29</f>
        <v>06572227001</v>
      </c>
      <c r="G29" s="59">
        <v>124.26</v>
      </c>
      <c r="H29" s="59">
        <v>161.54</v>
      </c>
      <c r="I29" s="60">
        <f t="shared" si="10"/>
        <v>0.23077875448805243</v>
      </c>
      <c r="J29" s="59">
        <f t="shared" si="11"/>
        <v>124.26</v>
      </c>
      <c r="K29" s="59">
        <f t="shared" si="12"/>
        <v>161.54</v>
      </c>
      <c r="L29" s="81">
        <f t="shared" si="6"/>
        <v>248.52</v>
      </c>
      <c r="M29" s="59">
        <f t="shared" si="13"/>
        <v>323.08</v>
      </c>
      <c r="N29" s="58"/>
      <c r="O29" s="58"/>
      <c r="P29" s="59">
        <f t="shared" ref="P29:P36" si="15">L29</f>
        <v>248.52</v>
      </c>
      <c r="Q29" s="59">
        <f t="shared" ref="Q29:Q36" si="16">P29</f>
        <v>248.52</v>
      </c>
      <c r="R29" s="60"/>
    </row>
    <row r="30" spans="1:18" x14ac:dyDescent="0.25">
      <c r="B30" s="33" t="s">
        <v>108</v>
      </c>
      <c r="C30" s="34" t="s">
        <v>100</v>
      </c>
      <c r="D30" s="35"/>
      <c r="E30" s="38">
        <v>2</v>
      </c>
      <c r="F30" s="62" t="str">
        <f t="shared" si="14"/>
        <v>06934226001</v>
      </c>
      <c r="G30" s="59">
        <v>60.79</v>
      </c>
      <c r="H30" s="59">
        <v>79.03</v>
      </c>
      <c r="I30" s="60">
        <f t="shared" si="10"/>
        <v>0.23079843097557892</v>
      </c>
      <c r="J30" s="59">
        <f t="shared" si="11"/>
        <v>60.79</v>
      </c>
      <c r="K30" s="59">
        <f t="shared" si="12"/>
        <v>79.03</v>
      </c>
      <c r="L30" s="81">
        <f t="shared" si="6"/>
        <v>121.58</v>
      </c>
      <c r="M30" s="59">
        <f t="shared" si="13"/>
        <v>158.06</v>
      </c>
      <c r="N30" s="58"/>
      <c r="O30" s="58"/>
      <c r="P30" s="59">
        <f t="shared" si="15"/>
        <v>121.58</v>
      </c>
      <c r="Q30" s="59">
        <f t="shared" si="16"/>
        <v>121.58</v>
      </c>
      <c r="R30" s="60"/>
    </row>
    <row r="31" spans="1:18" x14ac:dyDescent="0.25">
      <c r="B31" s="33" t="s">
        <v>109</v>
      </c>
      <c r="C31" s="34" t="s">
        <v>101</v>
      </c>
      <c r="D31" s="35"/>
      <c r="E31" s="38">
        <v>2</v>
      </c>
      <c r="F31" s="62" t="str">
        <f t="shared" si="14"/>
        <v>06931090001</v>
      </c>
      <c r="G31" s="59">
        <v>7.84</v>
      </c>
      <c r="H31" s="59">
        <v>10.19</v>
      </c>
      <c r="I31" s="60">
        <f t="shared" si="10"/>
        <v>0.23061825318940135</v>
      </c>
      <c r="J31" s="59">
        <f t="shared" si="11"/>
        <v>7.84</v>
      </c>
      <c r="K31" s="59">
        <f t="shared" si="12"/>
        <v>10.19</v>
      </c>
      <c r="L31" s="81">
        <f t="shared" si="6"/>
        <v>15.68</v>
      </c>
      <c r="M31" s="59">
        <f t="shared" si="13"/>
        <v>20.38</v>
      </c>
      <c r="N31" s="58"/>
      <c r="O31" s="58"/>
      <c r="P31" s="59">
        <f t="shared" si="15"/>
        <v>15.68</v>
      </c>
      <c r="Q31" s="59">
        <f t="shared" si="16"/>
        <v>15.68</v>
      </c>
      <c r="R31" s="60"/>
    </row>
    <row r="32" spans="1:18" x14ac:dyDescent="0.25">
      <c r="B32" s="30" t="s">
        <v>110</v>
      </c>
      <c r="C32" s="31" t="s">
        <v>102</v>
      </c>
      <c r="D32" s="8"/>
      <c r="E32" s="38">
        <v>4</v>
      </c>
      <c r="F32" s="62" t="str">
        <f t="shared" si="14"/>
        <v>06931537001</v>
      </c>
      <c r="G32" s="59">
        <v>0.75</v>
      </c>
      <c r="H32" s="59">
        <v>0.98</v>
      </c>
      <c r="I32" s="60">
        <f t="shared" si="10"/>
        <v>0.23469387755102039</v>
      </c>
      <c r="J32" s="59">
        <f t="shared" si="11"/>
        <v>0.75</v>
      </c>
      <c r="K32" s="59">
        <f t="shared" si="12"/>
        <v>0.98</v>
      </c>
      <c r="L32" s="81">
        <f t="shared" si="6"/>
        <v>3</v>
      </c>
      <c r="M32" s="59">
        <f t="shared" si="13"/>
        <v>3.92</v>
      </c>
      <c r="N32" s="58"/>
      <c r="O32" s="58"/>
      <c r="P32" s="59">
        <f t="shared" si="15"/>
        <v>3</v>
      </c>
      <c r="Q32" s="59">
        <f t="shared" si="16"/>
        <v>3</v>
      </c>
      <c r="R32" s="60"/>
    </row>
    <row r="33" spans="1:18" x14ac:dyDescent="0.25">
      <c r="B33" s="30" t="s">
        <v>111</v>
      </c>
      <c r="C33" s="31" t="s">
        <v>103</v>
      </c>
      <c r="D33" s="8"/>
      <c r="E33" s="38">
        <v>2</v>
      </c>
      <c r="F33" s="62" t="str">
        <f t="shared" si="14"/>
        <v>05011418001</v>
      </c>
      <c r="G33" s="59">
        <v>0.62</v>
      </c>
      <c r="H33" s="59">
        <v>0.81</v>
      </c>
      <c r="I33" s="60">
        <f t="shared" si="10"/>
        <v>0.23456790123456794</v>
      </c>
      <c r="J33" s="59">
        <f t="shared" si="11"/>
        <v>0.62</v>
      </c>
      <c r="K33" s="59">
        <f t="shared" si="12"/>
        <v>0.81</v>
      </c>
      <c r="L33" s="81">
        <f t="shared" si="6"/>
        <v>1.24</v>
      </c>
      <c r="M33" s="59">
        <f t="shared" si="13"/>
        <v>1.62</v>
      </c>
      <c r="N33" s="58"/>
      <c r="O33" s="58"/>
      <c r="P33" s="59">
        <f t="shared" si="15"/>
        <v>1.24</v>
      </c>
      <c r="Q33" s="59">
        <f t="shared" si="16"/>
        <v>1.24</v>
      </c>
      <c r="R33" s="60"/>
    </row>
    <row r="34" spans="1:18" x14ac:dyDescent="0.25">
      <c r="B34" s="30" t="s">
        <v>112</v>
      </c>
      <c r="C34" s="31" t="s">
        <v>104</v>
      </c>
      <c r="D34" s="8"/>
      <c r="E34" s="38">
        <v>2</v>
      </c>
      <c r="F34" s="62" t="str">
        <f t="shared" si="14"/>
        <v>06572596001</v>
      </c>
      <c r="G34" s="59">
        <v>8.0399999999999991</v>
      </c>
      <c r="H34" s="59">
        <v>10.45</v>
      </c>
      <c r="I34" s="60">
        <f t="shared" si="10"/>
        <v>0.23062200956937801</v>
      </c>
      <c r="J34" s="59">
        <f t="shared" si="11"/>
        <v>8.0399999999999991</v>
      </c>
      <c r="K34" s="59">
        <f t="shared" si="12"/>
        <v>10.45</v>
      </c>
      <c r="L34" s="81">
        <f t="shared" si="6"/>
        <v>16.079999999999998</v>
      </c>
      <c r="M34" s="59">
        <f t="shared" si="13"/>
        <v>20.9</v>
      </c>
      <c r="N34" s="58"/>
      <c r="O34" s="58"/>
      <c r="P34" s="59">
        <f t="shared" si="15"/>
        <v>16.079999999999998</v>
      </c>
      <c r="Q34" s="59">
        <f t="shared" si="16"/>
        <v>16.079999999999998</v>
      </c>
      <c r="R34" s="60"/>
    </row>
    <row r="35" spans="1:18" x14ac:dyDescent="0.25">
      <c r="B35" s="30" t="s">
        <v>113</v>
      </c>
      <c r="C35" s="31" t="s">
        <v>105</v>
      </c>
      <c r="D35" s="8"/>
      <c r="E35" s="38">
        <v>4</v>
      </c>
      <c r="F35" s="62" t="str">
        <f t="shared" si="14"/>
        <v>06572243001</v>
      </c>
      <c r="G35" s="59">
        <v>0.7</v>
      </c>
      <c r="H35" s="59">
        <v>0.91</v>
      </c>
      <c r="I35" s="60">
        <f t="shared" si="10"/>
        <v>0.23076923076923084</v>
      </c>
      <c r="J35" s="59">
        <f t="shared" si="11"/>
        <v>0.7</v>
      </c>
      <c r="K35" s="59">
        <f>H35</f>
        <v>0.91</v>
      </c>
      <c r="L35" s="81">
        <f t="shared" si="6"/>
        <v>2.8</v>
      </c>
      <c r="M35" s="59">
        <f t="shared" si="13"/>
        <v>3.64</v>
      </c>
      <c r="N35" s="58"/>
      <c r="O35" s="58"/>
      <c r="P35" s="59">
        <f t="shared" si="15"/>
        <v>2.8</v>
      </c>
      <c r="Q35" s="59">
        <f t="shared" si="16"/>
        <v>2.8</v>
      </c>
      <c r="R35" s="60"/>
    </row>
    <row r="36" spans="1:18" ht="15.75" thickBot="1" x14ac:dyDescent="0.3">
      <c r="B36" s="12" t="s">
        <v>142</v>
      </c>
      <c r="C36" s="11" t="s">
        <v>115</v>
      </c>
      <c r="D36" s="32"/>
      <c r="E36" s="39">
        <v>30</v>
      </c>
      <c r="F36" s="62" t="str">
        <f t="shared" si="14"/>
        <v>07418248001</v>
      </c>
      <c r="G36" s="59">
        <v>12.17</v>
      </c>
      <c r="H36" s="59">
        <v>24.98</v>
      </c>
      <c r="I36" s="60">
        <f t="shared" si="10"/>
        <v>0.5128102481985588</v>
      </c>
      <c r="J36" s="59">
        <f t="shared" si="11"/>
        <v>12.17</v>
      </c>
      <c r="K36" s="59">
        <v>24.98</v>
      </c>
      <c r="L36" s="81">
        <f t="shared" si="6"/>
        <v>365.1</v>
      </c>
      <c r="M36" s="59">
        <f t="shared" si="13"/>
        <v>749.4</v>
      </c>
      <c r="N36" s="58"/>
      <c r="O36" s="58"/>
      <c r="P36" s="59">
        <f t="shared" si="15"/>
        <v>365.1</v>
      </c>
      <c r="Q36" s="59">
        <f t="shared" si="16"/>
        <v>365.1</v>
      </c>
      <c r="R36" s="60"/>
    </row>
    <row r="37" spans="1:18" ht="15.75" thickBot="1" x14ac:dyDescent="0.3">
      <c r="A37" s="16"/>
      <c r="B37" s="179" t="s">
        <v>51</v>
      </c>
      <c r="C37" s="180"/>
      <c r="D37" s="10"/>
      <c r="E37" s="10"/>
      <c r="J37" s="59"/>
      <c r="K37" s="59"/>
      <c r="N37" s="58"/>
      <c r="O37" s="58"/>
    </row>
    <row r="38" spans="1:18" x14ac:dyDescent="0.25">
      <c r="C38" s="13"/>
      <c r="D38" s="9"/>
      <c r="J38" s="59"/>
      <c r="K38" s="59"/>
      <c r="N38" s="58"/>
      <c r="O38" s="58"/>
    </row>
    <row r="39" spans="1:18" x14ac:dyDescent="0.25">
      <c r="J39" s="59"/>
      <c r="K39" s="59"/>
      <c r="N39" s="58"/>
      <c r="O39" s="58"/>
    </row>
    <row r="40" spans="1:18" x14ac:dyDescent="0.25">
      <c r="B40" s="7" t="s">
        <v>49</v>
      </c>
      <c r="C40" s="7"/>
      <c r="J40" s="59"/>
      <c r="K40" s="59"/>
      <c r="N40" s="58"/>
      <c r="O40" s="58"/>
    </row>
    <row r="41" spans="1:18" x14ac:dyDescent="0.25">
      <c r="A41" s="17" t="s">
        <v>53</v>
      </c>
      <c r="B41" s="1" t="s">
        <v>46</v>
      </c>
      <c r="C41" s="1" t="s">
        <v>47</v>
      </c>
      <c r="D41" s="1" t="s">
        <v>48</v>
      </c>
      <c r="E41" s="1" t="s">
        <v>72</v>
      </c>
      <c r="J41" s="59"/>
      <c r="K41" s="59"/>
      <c r="N41" s="58"/>
      <c r="O41" s="58"/>
    </row>
    <row r="42" spans="1:18" s="70" customFormat="1" x14ac:dyDescent="0.25">
      <c r="A42" s="17">
        <v>60</v>
      </c>
      <c r="B42" s="1"/>
      <c r="C42" s="1" t="s">
        <v>161</v>
      </c>
      <c r="D42" s="1"/>
      <c r="E42" s="1"/>
      <c r="F42" s="68"/>
      <c r="G42" s="69">
        <f>SUM(G43:G53)</f>
        <v>67315.19</v>
      </c>
      <c r="H42" s="69">
        <f>SUM(H43:H53)</f>
        <v>82725.25</v>
      </c>
      <c r="J42" s="69">
        <f>SUM(J43:J53)</f>
        <v>42975.189999999995</v>
      </c>
      <c r="K42" s="69">
        <f>SUM(K43:K53)</f>
        <v>53399.465653282961</v>
      </c>
      <c r="L42" s="69">
        <f t="shared" ref="L42:M42" si="17">SUM(L43:L53)</f>
        <v>44576.14</v>
      </c>
      <c r="M42" s="69">
        <f t="shared" si="17"/>
        <v>55080.463153282966</v>
      </c>
      <c r="N42" s="79">
        <f>-PV($N$2,A42,M42/A42)</f>
        <v>54101.264457185687</v>
      </c>
      <c r="O42" s="79">
        <f>ROUND(N42/A42,0)</f>
        <v>902</v>
      </c>
      <c r="P42" s="69"/>
      <c r="Q42" s="69"/>
    </row>
    <row r="43" spans="1:18" x14ac:dyDescent="0.25">
      <c r="A43" s="75"/>
      <c r="B43" s="95">
        <v>4745868001</v>
      </c>
      <c r="C43" s="95" t="s">
        <v>54</v>
      </c>
      <c r="D43" s="95" t="s">
        <v>59</v>
      </c>
      <c r="E43" s="89">
        <v>1</v>
      </c>
      <c r="F43" s="63">
        <v>4745868001</v>
      </c>
      <c r="G43" s="59">
        <v>18365</v>
      </c>
      <c r="H43" s="59">
        <v>20997.45</v>
      </c>
      <c r="I43" s="60">
        <f t="shared" ref="I43:I46" si="18">(H43-G43)/H43</f>
        <v>0.12536998540298944</v>
      </c>
      <c r="J43" s="59">
        <v>11112</v>
      </c>
      <c r="K43" s="59">
        <v>13340.040708957256</v>
      </c>
      <c r="L43" s="81">
        <f t="shared" ref="L43:L45" si="19">E43*J43</f>
        <v>11112</v>
      </c>
      <c r="M43" s="59">
        <f t="shared" ref="M43:M45" si="20">K43*E43</f>
        <v>13340.040708957256</v>
      </c>
      <c r="N43" s="58"/>
      <c r="O43" s="58"/>
      <c r="P43" s="59">
        <f>G43/$A$42</f>
        <v>306.08333333333331</v>
      </c>
      <c r="Q43" s="59">
        <f>P43</f>
        <v>306.08333333333331</v>
      </c>
      <c r="R43" s="60"/>
    </row>
    <row r="44" spans="1:18" x14ac:dyDescent="0.25">
      <c r="A44" s="75"/>
      <c r="B44" s="95">
        <v>4745914001</v>
      </c>
      <c r="C44" s="95" t="s">
        <v>55</v>
      </c>
      <c r="D44" s="95" t="s">
        <v>60</v>
      </c>
      <c r="E44" s="89">
        <v>1</v>
      </c>
      <c r="F44" s="63">
        <v>4745914001</v>
      </c>
      <c r="G44" s="59">
        <v>41177</v>
      </c>
      <c r="H44" s="59">
        <v>51436.52</v>
      </c>
      <c r="I44" s="60">
        <f t="shared" si="18"/>
        <v>0.19945983904043271</v>
      </c>
      <c r="J44" s="59">
        <v>24926</v>
      </c>
      <c r="K44" s="59">
        <v>32693.300444325712</v>
      </c>
      <c r="L44" s="81">
        <f t="shared" si="19"/>
        <v>24926</v>
      </c>
      <c r="M44" s="59">
        <f t="shared" si="20"/>
        <v>32693.300444325712</v>
      </c>
      <c r="N44" s="58"/>
      <c r="O44" s="58"/>
      <c r="P44" s="59">
        <f>G44/$A$42</f>
        <v>686.2833333333333</v>
      </c>
      <c r="Q44" s="59">
        <f>P44</f>
        <v>686.2833333333333</v>
      </c>
      <c r="R44" s="60"/>
    </row>
    <row r="45" spans="1:18" x14ac:dyDescent="0.25">
      <c r="A45" s="75"/>
      <c r="B45" s="14">
        <v>4433297001</v>
      </c>
      <c r="C45" s="14" t="s">
        <v>56</v>
      </c>
      <c r="D45" s="14" t="s">
        <v>61</v>
      </c>
      <c r="E45" s="19">
        <v>1</v>
      </c>
      <c r="F45" s="63">
        <v>4433297001</v>
      </c>
      <c r="G45" s="59">
        <v>1026</v>
      </c>
      <c r="H45" s="59">
        <v>1448.1</v>
      </c>
      <c r="I45" s="60">
        <f t="shared" si="18"/>
        <v>0.29148539465506523</v>
      </c>
      <c r="J45" s="59">
        <v>190</v>
      </c>
      <c r="K45" s="59">
        <v>281.57499999999999</v>
      </c>
      <c r="L45" s="81">
        <f t="shared" si="19"/>
        <v>190</v>
      </c>
      <c r="M45" s="59">
        <f t="shared" si="20"/>
        <v>281.57499999999999</v>
      </c>
      <c r="N45" s="58"/>
      <c r="O45" s="58"/>
      <c r="P45" s="59">
        <f>L45</f>
        <v>190</v>
      </c>
      <c r="Q45" s="59">
        <v>0</v>
      </c>
      <c r="R45" s="60"/>
    </row>
    <row r="46" spans="1:18" x14ac:dyDescent="0.25">
      <c r="A46" s="75"/>
      <c r="B46" s="15"/>
      <c r="C46" s="15" t="s">
        <v>57</v>
      </c>
      <c r="D46" s="15" t="s">
        <v>58</v>
      </c>
      <c r="E46" s="20">
        <v>1</v>
      </c>
      <c r="F46" s="63" t="s">
        <v>163</v>
      </c>
      <c r="G46" s="59">
        <v>1448.1</v>
      </c>
      <c r="H46" s="59">
        <v>1883</v>
      </c>
      <c r="I46" s="60">
        <f t="shared" si="18"/>
        <v>0.23096123207647376</v>
      </c>
      <c r="J46" s="59">
        <f>G46</f>
        <v>1448.1</v>
      </c>
      <c r="K46" s="59">
        <f>G46*1.05</f>
        <v>1520.5049999999999</v>
      </c>
      <c r="L46" s="81">
        <f t="shared" ref="L46" si="21">E46*J46</f>
        <v>1448.1</v>
      </c>
      <c r="M46" s="59">
        <f t="shared" ref="M46" si="22">K46*E46</f>
        <v>1520.5049999999999</v>
      </c>
      <c r="N46" s="58"/>
      <c r="O46" s="58"/>
      <c r="P46" s="59">
        <f>L46</f>
        <v>1448.1</v>
      </c>
      <c r="Q46" s="59">
        <v>0</v>
      </c>
    </row>
    <row r="47" spans="1:18" x14ac:dyDescent="0.25">
      <c r="A47" s="75"/>
      <c r="B47" s="6"/>
      <c r="C47" s="21" t="s">
        <v>73</v>
      </c>
      <c r="D47" s="6"/>
      <c r="E47" s="45"/>
      <c r="J47" s="59"/>
      <c r="K47" s="59"/>
      <c r="N47" s="58"/>
      <c r="O47" s="58"/>
      <c r="Q47" s="59">
        <v>0</v>
      </c>
    </row>
    <row r="48" spans="1:18" x14ac:dyDescent="0.25">
      <c r="A48" s="75"/>
      <c r="B48" s="96">
        <v>4885775001</v>
      </c>
      <c r="C48" s="96" t="s">
        <v>66</v>
      </c>
      <c r="D48" s="96"/>
      <c r="E48" s="89">
        <v>1</v>
      </c>
      <c r="F48" s="63">
        <v>4885775001</v>
      </c>
      <c r="G48" s="59">
        <v>4435</v>
      </c>
      <c r="H48" s="59">
        <v>5213.16</v>
      </c>
      <c r="I48" s="60">
        <f>(H48-G48)/H48</f>
        <v>0.14926838999762138</v>
      </c>
      <c r="J48" s="59">
        <f>G48</f>
        <v>4435</v>
      </c>
      <c r="K48" s="59">
        <f t="shared" ref="K48" si="23">G48*1.05</f>
        <v>4656.75</v>
      </c>
      <c r="L48" s="81">
        <f t="shared" ref="L48" si="24">E48*G48</f>
        <v>4435</v>
      </c>
      <c r="M48" s="59">
        <f t="shared" ref="M48" si="25">K48*E48</f>
        <v>4656.75</v>
      </c>
      <c r="N48" s="58"/>
      <c r="O48" s="58"/>
      <c r="P48" s="59">
        <f>G48/$A$42</f>
        <v>73.916666666666671</v>
      </c>
      <c r="Q48" s="59">
        <f>P48</f>
        <v>73.916666666666671</v>
      </c>
      <c r="R48" s="60"/>
    </row>
    <row r="49" spans="1:18" x14ac:dyDescent="0.25">
      <c r="B49" s="42"/>
      <c r="C49" s="51" t="s">
        <v>97</v>
      </c>
      <c r="D49" s="42"/>
      <c r="E49" s="44"/>
      <c r="J49" s="59"/>
      <c r="K49" s="59"/>
      <c r="N49" s="58"/>
      <c r="O49" s="58"/>
    </row>
    <row r="50" spans="1:18" x14ac:dyDescent="0.25">
      <c r="B50" s="14" t="s">
        <v>119</v>
      </c>
      <c r="C50" s="14" t="s">
        <v>116</v>
      </c>
      <c r="D50" s="14"/>
      <c r="E50" s="19">
        <v>8</v>
      </c>
      <c r="F50" s="63" t="s">
        <v>119</v>
      </c>
      <c r="G50" s="59">
        <v>156.5</v>
      </c>
      <c r="H50" s="59">
        <v>331</v>
      </c>
      <c r="I50" s="60">
        <f t="shared" ref="I50:I53" si="26">(H50-G50)/H50</f>
        <v>0.52719033232628398</v>
      </c>
      <c r="J50" s="59">
        <f t="shared" ref="J50:J53" si="27">G50</f>
        <v>156.5</v>
      </c>
      <c r="K50" s="59">
        <f t="shared" ref="K50:K53" si="28">G50*1.05</f>
        <v>164.32500000000002</v>
      </c>
      <c r="L50" s="81">
        <f t="shared" ref="L50:L53" si="29">E50*G50</f>
        <v>1252</v>
      </c>
      <c r="M50" s="59">
        <f t="shared" ref="M50:M53" si="30">K50*E50</f>
        <v>1314.6000000000001</v>
      </c>
      <c r="N50" s="58"/>
      <c r="O50" s="58"/>
      <c r="P50" s="59">
        <f t="shared" ref="P50:P53" si="31">L50</f>
        <v>1252</v>
      </c>
      <c r="Q50" s="59">
        <f>P50</f>
        <v>1252</v>
      </c>
      <c r="R50" s="60"/>
    </row>
    <row r="51" spans="1:18" x14ac:dyDescent="0.25">
      <c r="B51" s="14" t="s">
        <v>120</v>
      </c>
      <c r="C51" s="40" t="s">
        <v>117</v>
      </c>
      <c r="D51" s="14"/>
      <c r="E51" s="19">
        <v>1</v>
      </c>
      <c r="F51" s="63" t="s">
        <v>120</v>
      </c>
      <c r="G51" s="59">
        <v>542.9</v>
      </c>
      <c r="H51" s="59">
        <v>1086</v>
      </c>
      <c r="I51" s="60">
        <f t="shared" si="26"/>
        <v>0.50009208103130753</v>
      </c>
      <c r="J51" s="59">
        <f t="shared" si="27"/>
        <v>542.9</v>
      </c>
      <c r="K51" s="59">
        <f t="shared" si="28"/>
        <v>570.04499999999996</v>
      </c>
      <c r="L51" s="81">
        <f t="shared" si="29"/>
        <v>542.9</v>
      </c>
      <c r="M51" s="59">
        <f t="shared" si="30"/>
        <v>570.04499999999996</v>
      </c>
      <c r="N51" s="58"/>
      <c r="O51" s="58"/>
      <c r="P51" s="59">
        <f t="shared" si="31"/>
        <v>542.9</v>
      </c>
      <c r="Q51" s="59">
        <f t="shared" ref="Q51:Q53" si="32">P51</f>
        <v>542.9</v>
      </c>
      <c r="R51" s="60"/>
    </row>
    <row r="52" spans="1:18" x14ac:dyDescent="0.25">
      <c r="B52" s="15" t="s">
        <v>121</v>
      </c>
      <c r="C52" s="15" t="s">
        <v>118</v>
      </c>
      <c r="D52" s="40"/>
      <c r="E52" s="20">
        <v>2</v>
      </c>
      <c r="F52" s="63" t="s">
        <v>121</v>
      </c>
      <c r="G52" s="59">
        <v>152.52000000000001</v>
      </c>
      <c r="H52" s="59">
        <v>305.04000000000002</v>
      </c>
      <c r="I52" s="60">
        <f t="shared" si="26"/>
        <v>0.5</v>
      </c>
      <c r="J52" s="59">
        <f t="shared" si="27"/>
        <v>152.52000000000001</v>
      </c>
      <c r="K52" s="59">
        <f t="shared" si="28"/>
        <v>160.14600000000002</v>
      </c>
      <c r="L52" s="81">
        <f t="shared" si="29"/>
        <v>305.04000000000002</v>
      </c>
      <c r="M52" s="59">
        <f t="shared" si="30"/>
        <v>320.29200000000003</v>
      </c>
      <c r="N52" s="58"/>
      <c r="O52" s="58"/>
      <c r="P52" s="59">
        <f t="shared" si="31"/>
        <v>305.04000000000002</v>
      </c>
      <c r="Q52" s="59">
        <f t="shared" si="32"/>
        <v>305.04000000000002</v>
      </c>
      <c r="R52" s="60"/>
    </row>
    <row r="53" spans="1:18" ht="15.75" thickBot="1" x14ac:dyDescent="0.3">
      <c r="B53" s="12" t="s">
        <v>142</v>
      </c>
      <c r="C53" s="11" t="s">
        <v>115</v>
      </c>
      <c r="D53" s="47"/>
      <c r="E53" s="49">
        <v>30</v>
      </c>
      <c r="F53" s="64" t="s">
        <v>142</v>
      </c>
      <c r="G53" s="59">
        <v>12.17</v>
      </c>
      <c r="H53" s="59">
        <v>24.98</v>
      </c>
      <c r="I53" s="60">
        <f t="shared" si="26"/>
        <v>0.5128102481985588</v>
      </c>
      <c r="J53" s="59">
        <f t="shared" si="27"/>
        <v>12.17</v>
      </c>
      <c r="K53" s="59">
        <f t="shared" si="28"/>
        <v>12.778500000000001</v>
      </c>
      <c r="L53" s="81">
        <f t="shared" si="29"/>
        <v>365.1</v>
      </c>
      <c r="M53" s="59">
        <f t="shared" si="30"/>
        <v>383.35500000000002</v>
      </c>
      <c r="N53" s="58"/>
      <c r="O53" s="58"/>
      <c r="P53" s="59">
        <f t="shared" si="31"/>
        <v>365.1</v>
      </c>
      <c r="Q53" s="59">
        <f t="shared" si="32"/>
        <v>365.1</v>
      </c>
      <c r="R53" s="60"/>
    </row>
    <row r="54" spans="1:18" ht="15.75" thickBot="1" x14ac:dyDescent="0.3">
      <c r="B54" s="177" t="s">
        <v>51</v>
      </c>
      <c r="C54" s="178"/>
      <c r="D54" s="46"/>
      <c r="E54" s="48"/>
      <c r="J54" s="59"/>
      <c r="K54" s="59"/>
      <c r="N54" s="58"/>
      <c r="O54" s="58"/>
    </row>
    <row r="55" spans="1:18" x14ac:dyDescent="0.25">
      <c r="D55" s="9"/>
      <c r="J55" s="59"/>
      <c r="K55" s="59"/>
      <c r="N55" s="58"/>
      <c r="O55" s="58"/>
    </row>
    <row r="56" spans="1:18" x14ac:dyDescent="0.25">
      <c r="D56" s="13"/>
      <c r="J56" s="59"/>
      <c r="K56" s="59"/>
      <c r="N56" s="58"/>
      <c r="O56" s="58"/>
    </row>
    <row r="57" spans="1:18" x14ac:dyDescent="0.25">
      <c r="A57" s="17" t="s">
        <v>64</v>
      </c>
      <c r="B57" s="1" t="s">
        <v>46</v>
      </c>
      <c r="C57" s="1" t="s">
        <v>47</v>
      </c>
      <c r="D57" s="1" t="s">
        <v>48</v>
      </c>
      <c r="E57" s="1" t="s">
        <v>72</v>
      </c>
      <c r="J57" s="59"/>
      <c r="K57" s="59"/>
      <c r="N57" s="58"/>
      <c r="O57" s="58"/>
    </row>
    <row r="58" spans="1:18" s="70" customFormat="1" x14ac:dyDescent="0.25">
      <c r="A58" s="17">
        <v>60</v>
      </c>
      <c r="B58" s="1"/>
      <c r="C58" s="1" t="s">
        <v>161</v>
      </c>
      <c r="D58" s="1"/>
      <c r="E58" s="1"/>
      <c r="F58" s="68"/>
      <c r="G58" s="69">
        <f>SUM(G59:G67)</f>
        <v>61038.32</v>
      </c>
      <c r="H58" s="69">
        <f>SUM(H59:H67)</f>
        <v>72049.099999999977</v>
      </c>
      <c r="J58" s="69">
        <f>SUM(J59:J67)</f>
        <v>61038.32</v>
      </c>
      <c r="K58" s="69">
        <f>SUM(K59:K67)</f>
        <v>64090.235999999997</v>
      </c>
      <c r="L58" s="69">
        <f t="shared" ref="L58:M58" si="33">SUM(L59:L67)</f>
        <v>62210.000000000007</v>
      </c>
      <c r="M58" s="69">
        <f t="shared" si="33"/>
        <v>65320.5</v>
      </c>
      <c r="N58" s="79">
        <f>-PV($N$2,A58,M58/A58)</f>
        <v>64159.257977571397</v>
      </c>
      <c r="O58" s="79">
        <f>ROUND(N58/A58,0)</f>
        <v>1069</v>
      </c>
      <c r="P58" s="69"/>
      <c r="Q58" s="69"/>
    </row>
    <row r="59" spans="1:18" x14ac:dyDescent="0.25">
      <c r="B59" s="95">
        <v>4745922001</v>
      </c>
      <c r="C59" s="95" t="s">
        <v>62</v>
      </c>
      <c r="D59" s="92"/>
      <c r="E59" s="89">
        <v>1</v>
      </c>
      <c r="F59" s="63">
        <v>4745922001</v>
      </c>
      <c r="G59" s="59">
        <v>46078</v>
      </c>
      <c r="H59" s="59">
        <v>55607.040000000001</v>
      </c>
      <c r="I59" s="60">
        <f t="shared" ref="I59:I63" si="34">(H59-G59)/H59</f>
        <v>0.17136391363395714</v>
      </c>
      <c r="J59" s="59">
        <f t="shared" ref="J59:J63" si="35">G59</f>
        <v>46078</v>
      </c>
      <c r="K59" s="59">
        <f t="shared" ref="K59:K63" si="36">G59*(1+$K$2)</f>
        <v>48381.9</v>
      </c>
      <c r="L59" s="81">
        <f t="shared" ref="L59:L63" si="37">E59*G59</f>
        <v>46078</v>
      </c>
      <c r="M59" s="59">
        <f t="shared" ref="M59:M63" si="38">K59*E59</f>
        <v>48381.9</v>
      </c>
      <c r="N59" s="58"/>
      <c r="O59" s="58"/>
      <c r="P59" s="81">
        <f>G59/$A$58</f>
        <v>767.9666666666667</v>
      </c>
      <c r="Q59" s="59">
        <f t="shared" ref="Q59:Q61" si="39">P59</f>
        <v>767.9666666666667</v>
      </c>
      <c r="R59" s="60"/>
    </row>
    <row r="60" spans="1:18" x14ac:dyDescent="0.25">
      <c r="B60" s="95">
        <v>4885783001</v>
      </c>
      <c r="C60" s="95" t="s">
        <v>68</v>
      </c>
      <c r="D60" s="92"/>
      <c r="E60" s="89">
        <v>1</v>
      </c>
      <c r="F60" s="63">
        <v>4885783001</v>
      </c>
      <c r="G60" s="59">
        <v>4659</v>
      </c>
      <c r="H60" s="59">
        <v>5213.16</v>
      </c>
      <c r="I60" s="60">
        <f t="shared" si="34"/>
        <v>0.10630020946988004</v>
      </c>
      <c r="J60" s="59">
        <f t="shared" si="35"/>
        <v>4659</v>
      </c>
      <c r="K60" s="59">
        <f t="shared" si="36"/>
        <v>4891.95</v>
      </c>
      <c r="L60" s="81">
        <f t="shared" si="37"/>
        <v>4659</v>
      </c>
      <c r="M60" s="59">
        <f t="shared" si="38"/>
        <v>4891.95</v>
      </c>
      <c r="N60" s="58"/>
      <c r="O60" s="58"/>
      <c r="P60" s="81">
        <f>G60/$A$58</f>
        <v>77.650000000000006</v>
      </c>
      <c r="Q60" s="59">
        <f t="shared" si="39"/>
        <v>77.650000000000006</v>
      </c>
      <c r="R60" s="60"/>
    </row>
    <row r="61" spans="1:18" x14ac:dyDescent="0.25">
      <c r="B61" s="95">
        <v>4745876001</v>
      </c>
      <c r="C61" s="95" t="s">
        <v>96</v>
      </c>
      <c r="D61" s="92"/>
      <c r="E61" s="89">
        <v>1</v>
      </c>
      <c r="F61" s="63">
        <v>4745876001</v>
      </c>
      <c r="G61" s="59">
        <v>9067</v>
      </c>
      <c r="H61" s="59">
        <v>9470.57</v>
      </c>
      <c r="I61" s="60">
        <f t="shared" si="34"/>
        <v>4.2613063416457479E-2</v>
      </c>
      <c r="J61" s="59">
        <f t="shared" si="35"/>
        <v>9067</v>
      </c>
      <c r="K61" s="59">
        <f t="shared" si="36"/>
        <v>9520.35</v>
      </c>
      <c r="L61" s="81">
        <f t="shared" si="37"/>
        <v>9067</v>
      </c>
      <c r="M61" s="59">
        <f t="shared" si="38"/>
        <v>9520.35</v>
      </c>
      <c r="N61" s="58"/>
      <c r="O61" s="58"/>
      <c r="P61" s="81">
        <f>G61/$A$58</f>
        <v>151.11666666666667</v>
      </c>
      <c r="Q61" s="59">
        <f t="shared" si="39"/>
        <v>151.11666666666667</v>
      </c>
      <c r="R61" s="60"/>
    </row>
    <row r="62" spans="1:18" x14ac:dyDescent="0.25">
      <c r="B62" s="14">
        <v>5151643001</v>
      </c>
      <c r="C62" s="14" t="s">
        <v>63</v>
      </c>
      <c r="D62" s="4"/>
      <c r="E62" s="19">
        <v>2</v>
      </c>
      <c r="F62" s="63">
        <v>5151643001</v>
      </c>
      <c r="G62" s="59">
        <v>941.4</v>
      </c>
      <c r="H62" s="59">
        <v>1347.97</v>
      </c>
      <c r="I62" s="60">
        <f t="shared" si="34"/>
        <v>0.3016165048183565</v>
      </c>
      <c r="J62" s="59">
        <f t="shared" si="35"/>
        <v>941.4</v>
      </c>
      <c r="K62" s="59">
        <f t="shared" si="36"/>
        <v>988.47</v>
      </c>
      <c r="L62" s="81">
        <f t="shared" si="37"/>
        <v>1882.8</v>
      </c>
      <c r="M62" s="59">
        <f t="shared" si="38"/>
        <v>1976.94</v>
      </c>
      <c r="N62" s="58"/>
      <c r="O62" s="58"/>
      <c r="P62" s="59">
        <f>L62</f>
        <v>1882.8</v>
      </c>
      <c r="R62" s="60"/>
    </row>
    <row r="63" spans="1:18" x14ac:dyDescent="0.25">
      <c r="B63" s="14">
        <v>5551471001</v>
      </c>
      <c r="C63" s="14" t="s">
        <v>74</v>
      </c>
      <c r="D63" s="4"/>
      <c r="E63" s="14">
        <v>1</v>
      </c>
      <c r="F63" s="63">
        <v>5551471001</v>
      </c>
      <c r="G63" s="59">
        <v>147.94999999999999</v>
      </c>
      <c r="H63" s="59">
        <v>202.73</v>
      </c>
      <c r="I63" s="60">
        <f t="shared" si="34"/>
        <v>0.27021161150298428</v>
      </c>
      <c r="J63" s="59">
        <f t="shared" si="35"/>
        <v>147.94999999999999</v>
      </c>
      <c r="K63" s="59">
        <f t="shared" si="36"/>
        <v>155.3475</v>
      </c>
      <c r="L63" s="81">
        <f t="shared" si="37"/>
        <v>147.94999999999999</v>
      </c>
      <c r="M63" s="59">
        <f t="shared" si="38"/>
        <v>155.3475</v>
      </c>
      <c r="N63" s="58"/>
      <c r="O63" s="58"/>
      <c r="P63" s="59">
        <f>L63</f>
        <v>147.94999999999999</v>
      </c>
      <c r="R63" s="60"/>
    </row>
    <row r="64" spans="1:18" x14ac:dyDescent="0.25">
      <c r="B64" s="42"/>
      <c r="C64" s="51" t="s">
        <v>97</v>
      </c>
      <c r="D64" s="42"/>
      <c r="E64" s="44"/>
      <c r="J64" s="59"/>
      <c r="K64" s="59"/>
      <c r="N64" s="58"/>
      <c r="O64" s="58"/>
    </row>
    <row r="65" spans="1:18" x14ac:dyDescent="0.25">
      <c r="B65" s="14" t="s">
        <v>124</v>
      </c>
      <c r="C65" s="14" t="s">
        <v>122</v>
      </c>
      <c r="D65" s="4"/>
      <c r="E65" s="14">
        <v>1</v>
      </c>
      <c r="F65" s="63" t="s">
        <v>124</v>
      </c>
      <c r="G65" s="59">
        <v>72.900000000000006</v>
      </c>
      <c r="H65" s="59">
        <v>100.23</v>
      </c>
      <c r="I65" s="60">
        <f t="shared" ref="I65:I67" si="40">(H65-G65)/H65</f>
        <v>0.27267285243938938</v>
      </c>
      <c r="J65" s="59">
        <f t="shared" ref="J65:J67" si="41">G65</f>
        <v>72.900000000000006</v>
      </c>
      <c r="K65" s="59">
        <f t="shared" ref="K65:K67" si="42">G65*1.05</f>
        <v>76.545000000000016</v>
      </c>
      <c r="L65" s="81">
        <f t="shared" ref="L65:L67" si="43">E65*G65</f>
        <v>72.900000000000006</v>
      </c>
      <c r="M65" s="59">
        <f t="shared" ref="M65:M67" si="44">K65*E65</f>
        <v>76.545000000000016</v>
      </c>
      <c r="N65" s="58"/>
      <c r="O65" s="58"/>
      <c r="P65" s="59">
        <f>L65</f>
        <v>72.900000000000006</v>
      </c>
      <c r="Q65" s="59">
        <f t="shared" ref="Q65:Q67" si="45">P65</f>
        <v>72.900000000000006</v>
      </c>
      <c r="R65" s="60"/>
    </row>
    <row r="66" spans="1:18" x14ac:dyDescent="0.25">
      <c r="B66" s="14">
        <v>3060039001</v>
      </c>
      <c r="C66" s="14" t="s">
        <v>123</v>
      </c>
      <c r="D66" s="4"/>
      <c r="E66" s="14">
        <v>2</v>
      </c>
      <c r="F66" s="63">
        <v>3060039001</v>
      </c>
      <c r="G66" s="59">
        <v>59.9</v>
      </c>
      <c r="H66" s="59">
        <v>82.42</v>
      </c>
      <c r="I66" s="60">
        <f t="shared" si="40"/>
        <v>0.27323465178354772</v>
      </c>
      <c r="J66" s="59">
        <f t="shared" si="41"/>
        <v>59.9</v>
      </c>
      <c r="K66" s="59">
        <f t="shared" si="42"/>
        <v>62.895000000000003</v>
      </c>
      <c r="L66" s="81">
        <f t="shared" si="43"/>
        <v>119.8</v>
      </c>
      <c r="M66" s="59">
        <f t="shared" si="44"/>
        <v>125.79</v>
      </c>
      <c r="N66" s="58"/>
      <c r="O66" s="58"/>
      <c r="P66" s="59">
        <f>L66</f>
        <v>119.8</v>
      </c>
      <c r="Q66" s="59">
        <f t="shared" si="45"/>
        <v>119.8</v>
      </c>
      <c r="R66" s="60"/>
    </row>
    <row r="67" spans="1:18" ht="15.75" thickBot="1" x14ac:dyDescent="0.3">
      <c r="B67" s="12" t="s">
        <v>142</v>
      </c>
      <c r="C67" s="11" t="s">
        <v>115</v>
      </c>
      <c r="D67" s="32"/>
      <c r="E67" s="14">
        <v>15</v>
      </c>
      <c r="F67" s="63" t="s">
        <v>142</v>
      </c>
      <c r="G67" s="59">
        <v>12.17</v>
      </c>
      <c r="H67" s="59">
        <v>24.98</v>
      </c>
      <c r="I67" s="60">
        <f t="shared" si="40"/>
        <v>0.5128102481985588</v>
      </c>
      <c r="J67" s="59">
        <f t="shared" si="41"/>
        <v>12.17</v>
      </c>
      <c r="K67" s="59">
        <f t="shared" si="42"/>
        <v>12.778500000000001</v>
      </c>
      <c r="L67" s="81">
        <f t="shared" si="43"/>
        <v>182.55</v>
      </c>
      <c r="M67" s="59">
        <f t="shared" si="44"/>
        <v>191.67750000000001</v>
      </c>
      <c r="N67" s="58"/>
      <c r="O67" s="58"/>
      <c r="P67" s="59">
        <f>L67</f>
        <v>182.55</v>
      </c>
      <c r="Q67" s="59">
        <f t="shared" si="45"/>
        <v>182.55</v>
      </c>
      <c r="R67" s="60"/>
    </row>
    <row r="68" spans="1:18" ht="15.75" thickBot="1" x14ac:dyDescent="0.3">
      <c r="B68" s="177" t="s">
        <v>51</v>
      </c>
      <c r="C68" s="178"/>
      <c r="D68" s="46"/>
      <c r="J68" s="59"/>
      <c r="K68" s="59"/>
      <c r="N68" s="58"/>
      <c r="O68" s="58"/>
    </row>
    <row r="69" spans="1:18" x14ac:dyDescent="0.25">
      <c r="B69" s="28"/>
      <c r="C69" s="29"/>
      <c r="D69" s="13"/>
      <c r="J69" s="59"/>
      <c r="K69" s="59"/>
      <c r="N69" s="58"/>
      <c r="O69" s="58"/>
    </row>
    <row r="70" spans="1:18" x14ac:dyDescent="0.25">
      <c r="J70" s="59"/>
      <c r="K70" s="59"/>
      <c r="N70" s="58"/>
      <c r="O70" s="58"/>
    </row>
    <row r="71" spans="1:18" x14ac:dyDescent="0.25">
      <c r="A71" s="17" t="s">
        <v>65</v>
      </c>
      <c r="B71" s="1" t="s">
        <v>46</v>
      </c>
      <c r="C71" s="1" t="s">
        <v>47</v>
      </c>
      <c r="D71" s="1" t="s">
        <v>48</v>
      </c>
      <c r="E71" s="1" t="s">
        <v>72</v>
      </c>
      <c r="J71" s="59"/>
      <c r="K71" s="59"/>
      <c r="N71" s="58"/>
      <c r="O71" s="58"/>
    </row>
    <row r="72" spans="1:18" s="70" customFormat="1" x14ac:dyDescent="0.25">
      <c r="A72" s="17">
        <v>60</v>
      </c>
      <c r="B72" s="1"/>
      <c r="C72" s="1" t="s">
        <v>161</v>
      </c>
      <c r="D72" s="1"/>
      <c r="E72" s="1"/>
      <c r="F72" s="68"/>
      <c r="G72" s="69">
        <f>SUM(G73:G82)</f>
        <v>62830.039999999994</v>
      </c>
      <c r="H72" s="69">
        <f>SUM(H73:H82)</f>
        <v>76697.819999999992</v>
      </c>
      <c r="J72" s="69">
        <f>SUM(J73:J82)</f>
        <v>62830.039999999994</v>
      </c>
      <c r="K72" s="69">
        <f>SUM(K73:K82)</f>
        <v>65971.542000000001</v>
      </c>
      <c r="L72" s="69">
        <f t="shared" ref="L72:M72" si="46">SUM(L73:L82)</f>
        <v>64430.99</v>
      </c>
      <c r="M72" s="69">
        <f t="shared" si="46"/>
        <v>67652.539499999999</v>
      </c>
      <c r="N72" s="79">
        <f>-PV($N$2,A72,M72/A72)</f>
        <v>66449.839401387595</v>
      </c>
      <c r="O72" s="79">
        <f>ROUND(N72/A72,0)</f>
        <v>1107</v>
      </c>
      <c r="P72" s="69"/>
      <c r="Q72" s="69"/>
    </row>
    <row r="73" spans="1:18" x14ac:dyDescent="0.25">
      <c r="B73" s="95">
        <v>4745868001</v>
      </c>
      <c r="C73" s="95" t="s">
        <v>54</v>
      </c>
      <c r="D73" s="95"/>
      <c r="E73" s="89">
        <v>1</v>
      </c>
      <c r="F73" s="63">
        <v>4745868001</v>
      </c>
      <c r="G73" s="59">
        <v>18365</v>
      </c>
      <c r="H73" s="59">
        <v>20997.45</v>
      </c>
      <c r="I73" s="60">
        <f t="shared" ref="I73:I77" si="47">(H73-G73)/H73</f>
        <v>0.12536998540298944</v>
      </c>
      <c r="J73" s="59">
        <f t="shared" ref="J73:J77" si="48">G73</f>
        <v>18365</v>
      </c>
      <c r="K73" s="59">
        <f t="shared" ref="K73:K77" si="49">G73*(1+$K$2)</f>
        <v>19283.25</v>
      </c>
      <c r="L73" s="81">
        <f t="shared" ref="L73:L77" si="50">E73*G73</f>
        <v>18365</v>
      </c>
      <c r="M73" s="59">
        <f t="shared" ref="M73:M77" si="51">K73*E73</f>
        <v>19283.25</v>
      </c>
      <c r="N73" s="58"/>
      <c r="O73" s="58"/>
      <c r="P73" s="81">
        <f>G73/$A$72</f>
        <v>306.08333333333331</v>
      </c>
      <c r="Q73" s="59">
        <f t="shared" ref="Q73:Q74" si="52">P73</f>
        <v>306.08333333333331</v>
      </c>
      <c r="R73" s="60"/>
    </row>
    <row r="74" spans="1:18" x14ac:dyDescent="0.25">
      <c r="B74" s="95">
        <v>4745914001</v>
      </c>
      <c r="C74" s="95" t="s">
        <v>55</v>
      </c>
      <c r="D74" s="95"/>
      <c r="E74" s="89">
        <v>1</v>
      </c>
      <c r="F74" s="63">
        <v>4745914001</v>
      </c>
      <c r="G74" s="59">
        <v>41177</v>
      </c>
      <c r="H74" s="59">
        <v>51436.52</v>
      </c>
      <c r="I74" s="60">
        <f t="shared" si="47"/>
        <v>0.19945983904043271</v>
      </c>
      <c r="J74" s="59">
        <f t="shared" si="48"/>
        <v>41177</v>
      </c>
      <c r="K74" s="59">
        <f t="shared" si="49"/>
        <v>43235.85</v>
      </c>
      <c r="L74" s="81">
        <f t="shared" si="50"/>
        <v>41177</v>
      </c>
      <c r="M74" s="59">
        <f t="shared" si="51"/>
        <v>43235.85</v>
      </c>
      <c r="N74" s="58"/>
      <c r="O74" s="58"/>
      <c r="P74" s="81">
        <f>G74/$A$72</f>
        <v>686.2833333333333</v>
      </c>
      <c r="Q74" s="59">
        <f t="shared" si="52"/>
        <v>686.2833333333333</v>
      </c>
      <c r="R74" s="60"/>
    </row>
    <row r="75" spans="1:18" x14ac:dyDescent="0.25">
      <c r="B75" s="15">
        <v>4433297001</v>
      </c>
      <c r="C75" s="15" t="s">
        <v>56</v>
      </c>
      <c r="D75" s="15"/>
      <c r="E75" s="20">
        <v>1</v>
      </c>
      <c r="F75" s="63">
        <v>4433297001</v>
      </c>
      <c r="G75" s="59">
        <v>1026</v>
      </c>
      <c r="H75" s="59">
        <v>1448.1</v>
      </c>
      <c r="I75" s="60">
        <f t="shared" si="47"/>
        <v>0.29148539465506523</v>
      </c>
      <c r="J75" s="59">
        <f t="shared" si="48"/>
        <v>1026</v>
      </c>
      <c r="K75" s="59">
        <f t="shared" si="49"/>
        <v>1077.3</v>
      </c>
      <c r="L75" s="81">
        <f t="shared" si="50"/>
        <v>1026</v>
      </c>
      <c r="M75" s="59">
        <f t="shared" si="51"/>
        <v>1077.3</v>
      </c>
      <c r="N75" s="58"/>
      <c r="O75" s="58"/>
      <c r="P75" s="59">
        <f t="shared" ref="P75:P77" si="53">L75</f>
        <v>1026</v>
      </c>
      <c r="R75" s="60"/>
    </row>
    <row r="76" spans="1:18" x14ac:dyDescent="0.25">
      <c r="B76" s="57" t="s">
        <v>149</v>
      </c>
      <c r="C76" s="14" t="s">
        <v>75</v>
      </c>
      <c r="D76" s="14"/>
      <c r="E76" s="19">
        <v>1</v>
      </c>
      <c r="F76" s="63" t="s">
        <v>149</v>
      </c>
      <c r="G76" s="59">
        <v>1250</v>
      </c>
      <c r="H76" s="59">
        <v>866</v>
      </c>
      <c r="I76" s="60">
        <f t="shared" si="47"/>
        <v>-0.44341801385681295</v>
      </c>
      <c r="J76" s="59">
        <f t="shared" si="48"/>
        <v>1250</v>
      </c>
      <c r="K76" s="59">
        <f t="shared" si="49"/>
        <v>1312.5</v>
      </c>
      <c r="L76" s="81">
        <f t="shared" si="50"/>
        <v>1250</v>
      </c>
      <c r="M76" s="59">
        <f t="shared" si="51"/>
        <v>1312.5</v>
      </c>
      <c r="N76" s="58"/>
      <c r="O76" s="58"/>
      <c r="P76" s="59">
        <f t="shared" si="53"/>
        <v>1250</v>
      </c>
      <c r="R76" s="60"/>
    </row>
    <row r="77" spans="1:18" x14ac:dyDescent="0.25">
      <c r="B77" s="14">
        <v>5551471001</v>
      </c>
      <c r="C77" s="14" t="s">
        <v>74</v>
      </c>
      <c r="D77" s="4"/>
      <c r="E77" s="19">
        <v>1</v>
      </c>
      <c r="F77" s="63">
        <v>5551471001</v>
      </c>
      <c r="G77" s="59">
        <v>147.94999999999999</v>
      </c>
      <c r="H77" s="59">
        <v>202.73</v>
      </c>
      <c r="I77" s="60">
        <f t="shared" si="47"/>
        <v>0.27021161150298428</v>
      </c>
      <c r="J77" s="59">
        <f t="shared" si="48"/>
        <v>147.94999999999999</v>
      </c>
      <c r="K77" s="59">
        <f t="shared" si="49"/>
        <v>155.3475</v>
      </c>
      <c r="L77" s="81">
        <f t="shared" si="50"/>
        <v>147.94999999999999</v>
      </c>
      <c r="M77" s="59">
        <f t="shared" si="51"/>
        <v>155.3475</v>
      </c>
      <c r="N77" s="58"/>
      <c r="O77" s="58"/>
      <c r="P77" s="59">
        <f t="shared" si="53"/>
        <v>147.94999999999999</v>
      </c>
      <c r="R77" s="60"/>
    </row>
    <row r="78" spans="1:18" x14ac:dyDescent="0.25">
      <c r="B78" s="42"/>
      <c r="C78" s="51" t="s">
        <v>97</v>
      </c>
      <c r="D78" s="42"/>
      <c r="E78" s="44"/>
      <c r="J78" s="59"/>
      <c r="K78" s="59"/>
      <c r="N78" s="58"/>
      <c r="O78" s="58"/>
    </row>
    <row r="79" spans="1:18" x14ac:dyDescent="0.25">
      <c r="B79" s="14" t="s">
        <v>119</v>
      </c>
      <c r="C79" s="14" t="s">
        <v>116</v>
      </c>
      <c r="D79" s="14"/>
      <c r="E79" s="19">
        <v>8</v>
      </c>
      <c r="F79" s="63" t="s">
        <v>119</v>
      </c>
      <c r="G79" s="59">
        <v>156.5</v>
      </c>
      <c r="H79" s="59">
        <v>331</v>
      </c>
      <c r="I79" s="60">
        <f t="shared" ref="I79:I82" si="54">(H79-G79)/H79</f>
        <v>0.52719033232628398</v>
      </c>
      <c r="J79" s="59">
        <f t="shared" ref="J79:J82" si="55">G79</f>
        <v>156.5</v>
      </c>
      <c r="K79" s="59">
        <f t="shared" ref="K79:K82" si="56">G79*1.05</f>
        <v>164.32500000000002</v>
      </c>
      <c r="L79" s="81">
        <f t="shared" ref="L79:L82" si="57">E79*G79</f>
        <v>1252</v>
      </c>
      <c r="M79" s="59">
        <f t="shared" ref="M79:M82" si="58">K79*E79</f>
        <v>1314.6000000000001</v>
      </c>
      <c r="N79" s="58"/>
      <c r="O79" s="58"/>
      <c r="P79" s="59">
        <f t="shared" ref="P79:P82" si="59">L79</f>
        <v>1252</v>
      </c>
      <c r="Q79" s="59">
        <f t="shared" ref="Q79:Q82" si="60">P79</f>
        <v>1252</v>
      </c>
      <c r="R79" s="60"/>
    </row>
    <row r="80" spans="1:18" x14ac:dyDescent="0.25">
      <c r="B80" s="14" t="s">
        <v>120</v>
      </c>
      <c r="C80" s="40" t="s">
        <v>117</v>
      </c>
      <c r="D80" s="14"/>
      <c r="E80" s="19">
        <v>1</v>
      </c>
      <c r="F80" s="63" t="s">
        <v>120</v>
      </c>
      <c r="G80" s="59">
        <v>542.9</v>
      </c>
      <c r="H80" s="59">
        <v>1086</v>
      </c>
      <c r="I80" s="60">
        <f t="shared" si="54"/>
        <v>0.50009208103130753</v>
      </c>
      <c r="J80" s="59">
        <f t="shared" si="55"/>
        <v>542.9</v>
      </c>
      <c r="K80" s="59">
        <f t="shared" si="56"/>
        <v>570.04499999999996</v>
      </c>
      <c r="L80" s="81">
        <f t="shared" si="57"/>
        <v>542.9</v>
      </c>
      <c r="M80" s="59">
        <f t="shared" si="58"/>
        <v>570.04499999999996</v>
      </c>
      <c r="N80" s="58"/>
      <c r="O80" s="58"/>
      <c r="P80" s="59">
        <f t="shared" si="59"/>
        <v>542.9</v>
      </c>
      <c r="Q80" s="59">
        <f t="shared" si="60"/>
        <v>542.9</v>
      </c>
      <c r="R80" s="60"/>
    </row>
    <row r="81" spans="1:18" x14ac:dyDescent="0.25">
      <c r="B81" s="15" t="s">
        <v>121</v>
      </c>
      <c r="C81" s="15" t="s">
        <v>118</v>
      </c>
      <c r="D81" s="40"/>
      <c r="E81" s="20">
        <v>2</v>
      </c>
      <c r="F81" s="63" t="s">
        <v>121</v>
      </c>
      <c r="G81" s="59">
        <v>152.52000000000001</v>
      </c>
      <c r="H81" s="59">
        <v>305.04000000000002</v>
      </c>
      <c r="I81" s="60">
        <f t="shared" si="54"/>
        <v>0.5</v>
      </c>
      <c r="J81" s="59">
        <f t="shared" si="55"/>
        <v>152.52000000000001</v>
      </c>
      <c r="K81" s="59">
        <f t="shared" si="56"/>
        <v>160.14600000000002</v>
      </c>
      <c r="L81" s="81">
        <f t="shared" si="57"/>
        <v>305.04000000000002</v>
      </c>
      <c r="M81" s="59">
        <f t="shared" si="58"/>
        <v>320.29200000000003</v>
      </c>
      <c r="N81" s="58"/>
      <c r="O81" s="58"/>
      <c r="P81" s="59">
        <f t="shared" si="59"/>
        <v>305.04000000000002</v>
      </c>
      <c r="Q81" s="59">
        <f t="shared" si="60"/>
        <v>305.04000000000002</v>
      </c>
      <c r="R81" s="60"/>
    </row>
    <row r="82" spans="1:18" ht="15.75" thickBot="1" x14ac:dyDescent="0.3">
      <c r="B82" s="12" t="s">
        <v>142</v>
      </c>
      <c r="C82" s="11" t="s">
        <v>115</v>
      </c>
      <c r="D82" s="41"/>
      <c r="E82" s="52">
        <v>30</v>
      </c>
      <c r="F82" s="63" t="s">
        <v>142</v>
      </c>
      <c r="G82" s="59">
        <v>12.17</v>
      </c>
      <c r="H82" s="59">
        <v>24.98</v>
      </c>
      <c r="I82" s="60">
        <f t="shared" si="54"/>
        <v>0.5128102481985588</v>
      </c>
      <c r="J82" s="59">
        <f t="shared" si="55"/>
        <v>12.17</v>
      </c>
      <c r="K82" s="59">
        <f t="shared" si="56"/>
        <v>12.778500000000001</v>
      </c>
      <c r="L82" s="81">
        <f t="shared" si="57"/>
        <v>365.1</v>
      </c>
      <c r="M82" s="59">
        <f t="shared" si="58"/>
        <v>383.35500000000002</v>
      </c>
      <c r="N82" s="58"/>
      <c r="O82" s="58"/>
      <c r="P82" s="59">
        <f t="shared" si="59"/>
        <v>365.1</v>
      </c>
      <c r="Q82" s="59">
        <f t="shared" si="60"/>
        <v>365.1</v>
      </c>
      <c r="R82" s="60"/>
    </row>
    <row r="83" spans="1:18" ht="15.75" thickBot="1" x14ac:dyDescent="0.3">
      <c r="B83" s="177" t="s">
        <v>51</v>
      </c>
      <c r="C83" s="178"/>
      <c r="D83" s="18"/>
      <c r="E83" s="48"/>
      <c r="J83" s="59"/>
      <c r="K83" s="59"/>
      <c r="N83" s="58"/>
      <c r="O83" s="58"/>
    </row>
    <row r="84" spans="1:18" x14ac:dyDescent="0.25">
      <c r="J84" s="59"/>
      <c r="K84" s="59"/>
      <c r="N84" s="58"/>
      <c r="O84" s="58"/>
    </row>
    <row r="85" spans="1:18" x14ac:dyDescent="0.25">
      <c r="J85" s="59"/>
      <c r="K85" s="59"/>
      <c r="N85" s="58"/>
      <c r="O85" s="58"/>
    </row>
    <row r="86" spans="1:18" x14ac:dyDescent="0.25">
      <c r="A86" s="17" t="s">
        <v>67</v>
      </c>
      <c r="B86" s="1" t="s">
        <v>46</v>
      </c>
      <c r="C86" s="1" t="s">
        <v>47</v>
      </c>
      <c r="D86" s="1" t="s">
        <v>48</v>
      </c>
      <c r="E86" s="1" t="s">
        <v>72</v>
      </c>
      <c r="J86" s="59"/>
      <c r="K86" s="59"/>
      <c r="N86" s="58"/>
      <c r="O86" s="58"/>
    </row>
    <row r="87" spans="1:18" s="70" customFormat="1" x14ac:dyDescent="0.25">
      <c r="A87" s="17">
        <v>36</v>
      </c>
      <c r="B87" s="67"/>
      <c r="C87" s="1" t="s">
        <v>161</v>
      </c>
      <c r="D87" s="1"/>
      <c r="E87" s="1"/>
      <c r="F87" s="68"/>
      <c r="G87" s="69">
        <f>SUM(G88:G108)</f>
        <v>44283.119999999995</v>
      </c>
      <c r="H87" s="69">
        <f>SUM(H88:H108)</f>
        <v>59254.464218750014</v>
      </c>
      <c r="J87" s="69">
        <f>SUM(J88:J108)</f>
        <v>44283.119999999995</v>
      </c>
      <c r="K87" s="69">
        <f>SUM(K88:K108)</f>
        <v>46497.275999999998</v>
      </c>
      <c r="L87" s="69">
        <f t="shared" ref="L87:M87" si="61">SUM(L88:L108)</f>
        <v>44634.79</v>
      </c>
      <c r="M87" s="69">
        <f t="shared" si="61"/>
        <v>46866.52949999999</v>
      </c>
      <c r="N87" s="79">
        <f>-PV($N$2,A87,M87/A87)</f>
        <v>46358.782412246488</v>
      </c>
      <c r="O87" s="79">
        <f>ROUND(N87/A87,0)</f>
        <v>1288</v>
      </c>
      <c r="P87" s="69"/>
      <c r="Q87" s="69"/>
    </row>
    <row r="88" spans="1:18" x14ac:dyDescent="0.25">
      <c r="A88" s="17"/>
      <c r="B88" s="100">
        <v>6390498001</v>
      </c>
      <c r="C88" s="100" t="s">
        <v>76</v>
      </c>
      <c r="D88" s="101"/>
      <c r="E88" s="102">
        <v>1</v>
      </c>
      <c r="F88" s="63">
        <v>6390498001</v>
      </c>
      <c r="G88" s="59">
        <v>12639</v>
      </c>
      <c r="H88" s="59">
        <v>16687.429687500004</v>
      </c>
      <c r="I88" s="60">
        <f t="shared" ref="I88:I99" si="62">(H88-G88)/H88</f>
        <v>0.24260355029585814</v>
      </c>
      <c r="J88" s="59">
        <f t="shared" ref="J88:J99" si="63">G88</f>
        <v>12639</v>
      </c>
      <c r="K88" s="59">
        <f t="shared" ref="K88:K100" si="64">G88*(1+$K$2)</f>
        <v>13270.95</v>
      </c>
      <c r="L88" s="81">
        <f t="shared" ref="L88:L100" si="65">E88*G88</f>
        <v>12639</v>
      </c>
      <c r="M88" s="59">
        <f t="shared" ref="M88:M100" si="66">K88*E88</f>
        <v>13270.95</v>
      </c>
      <c r="N88" s="58"/>
      <c r="O88" s="58"/>
      <c r="P88" s="81">
        <f>G88/$A$87</f>
        <v>351.08333333333331</v>
      </c>
      <c r="Q88" s="59">
        <f t="shared" ref="Q88" si="67">P88</f>
        <v>351.08333333333331</v>
      </c>
      <c r="R88" s="60"/>
    </row>
    <row r="89" spans="1:18" x14ac:dyDescent="0.25">
      <c r="A89" s="17"/>
      <c r="B89" s="19">
        <v>6390510001</v>
      </c>
      <c r="C89" s="19" t="s">
        <v>77</v>
      </c>
      <c r="D89" s="23"/>
      <c r="E89" s="27">
        <v>1</v>
      </c>
      <c r="F89" s="63">
        <v>6390510001</v>
      </c>
      <c r="G89" s="59">
        <v>1485</v>
      </c>
      <c r="H89" s="59">
        <v>1960.6640625000002</v>
      </c>
      <c r="I89" s="60">
        <f t="shared" si="62"/>
        <v>0.24260355029585809</v>
      </c>
      <c r="J89" s="59">
        <f t="shared" si="63"/>
        <v>1485</v>
      </c>
      <c r="K89" s="59">
        <f t="shared" si="64"/>
        <v>1559.25</v>
      </c>
      <c r="L89" s="81">
        <f t="shared" si="65"/>
        <v>1485</v>
      </c>
      <c r="M89" s="59">
        <f t="shared" si="66"/>
        <v>1559.25</v>
      </c>
      <c r="N89" s="58"/>
      <c r="O89" s="58"/>
      <c r="P89" s="59">
        <f t="shared" ref="P89:P95" si="68">L89</f>
        <v>1485</v>
      </c>
      <c r="Q89" s="59">
        <v>0</v>
      </c>
      <c r="R89" s="60"/>
    </row>
    <row r="90" spans="1:18" x14ac:dyDescent="0.25">
      <c r="A90" s="17"/>
      <c r="B90" s="19">
        <v>6390544001</v>
      </c>
      <c r="C90" s="19" t="s">
        <v>78</v>
      </c>
      <c r="D90" s="23"/>
      <c r="E90" s="27">
        <v>1</v>
      </c>
      <c r="F90" s="63">
        <v>6390544001</v>
      </c>
      <c r="G90" s="59">
        <v>14.3</v>
      </c>
      <c r="H90" s="59">
        <v>18.880468750000006</v>
      </c>
      <c r="I90" s="60">
        <f t="shared" si="62"/>
        <v>0.24260355029585817</v>
      </c>
      <c r="J90" s="59">
        <f t="shared" si="63"/>
        <v>14.3</v>
      </c>
      <c r="K90" s="59">
        <f t="shared" si="64"/>
        <v>15.015000000000001</v>
      </c>
      <c r="L90" s="81">
        <f t="shared" si="65"/>
        <v>14.3</v>
      </c>
      <c r="M90" s="59">
        <f t="shared" si="66"/>
        <v>15.015000000000001</v>
      </c>
      <c r="N90" s="58"/>
      <c r="O90" s="58"/>
      <c r="P90" s="59">
        <f t="shared" si="68"/>
        <v>14.3</v>
      </c>
      <c r="Q90" s="59">
        <v>0</v>
      </c>
      <c r="R90" s="60"/>
    </row>
    <row r="91" spans="1:18" x14ac:dyDescent="0.25">
      <c r="A91" s="17"/>
      <c r="B91" s="24">
        <v>6390579001</v>
      </c>
      <c r="C91" s="24" t="s">
        <v>79</v>
      </c>
      <c r="D91" s="23"/>
      <c r="E91" s="27">
        <v>1</v>
      </c>
      <c r="F91" s="63">
        <v>6390579001</v>
      </c>
      <c r="G91" s="59">
        <v>15.36</v>
      </c>
      <c r="H91" s="59">
        <v>20.28</v>
      </c>
      <c r="I91" s="60">
        <f t="shared" si="62"/>
        <v>0.24260355029585806</v>
      </c>
      <c r="J91" s="59">
        <f t="shared" si="63"/>
        <v>15.36</v>
      </c>
      <c r="K91" s="59">
        <f t="shared" si="64"/>
        <v>16.128</v>
      </c>
      <c r="L91" s="81">
        <f t="shared" si="65"/>
        <v>15.36</v>
      </c>
      <c r="M91" s="59">
        <f t="shared" si="66"/>
        <v>16.128</v>
      </c>
      <c r="N91" s="58"/>
      <c r="O91" s="58"/>
      <c r="P91" s="59">
        <f t="shared" si="68"/>
        <v>15.36</v>
      </c>
      <c r="Q91" s="59">
        <v>0</v>
      </c>
      <c r="R91" s="60"/>
    </row>
    <row r="92" spans="1:18" x14ac:dyDescent="0.25">
      <c r="A92" s="17"/>
      <c r="B92" s="19">
        <v>5099986001</v>
      </c>
      <c r="C92" s="19" t="s">
        <v>80</v>
      </c>
      <c r="D92" s="23"/>
      <c r="E92" s="27">
        <v>2</v>
      </c>
      <c r="F92" s="63">
        <v>5099986001</v>
      </c>
      <c r="G92" s="59">
        <v>102.64</v>
      </c>
      <c r="H92" s="59">
        <v>135.51687500000003</v>
      </c>
      <c r="I92" s="60">
        <f t="shared" si="62"/>
        <v>0.24260355029585814</v>
      </c>
      <c r="J92" s="59">
        <f t="shared" si="63"/>
        <v>102.64</v>
      </c>
      <c r="K92" s="59">
        <f t="shared" si="64"/>
        <v>107.77200000000001</v>
      </c>
      <c r="L92" s="81">
        <f t="shared" si="65"/>
        <v>205.28</v>
      </c>
      <c r="M92" s="59">
        <f t="shared" si="66"/>
        <v>215.54400000000001</v>
      </c>
      <c r="N92" s="58"/>
      <c r="O92" s="58"/>
      <c r="P92" s="59">
        <f t="shared" si="68"/>
        <v>205.28</v>
      </c>
      <c r="Q92" s="59">
        <v>0</v>
      </c>
      <c r="R92" s="60"/>
    </row>
    <row r="93" spans="1:18" x14ac:dyDescent="0.25">
      <c r="A93" s="17"/>
      <c r="B93" s="19">
        <v>11902997001</v>
      </c>
      <c r="C93" s="19" t="s">
        <v>81</v>
      </c>
      <c r="D93" s="23"/>
      <c r="E93" s="27">
        <v>1</v>
      </c>
      <c r="F93" s="63">
        <v>11902997001</v>
      </c>
      <c r="G93" s="59">
        <v>415.03</v>
      </c>
      <c r="H93" s="59">
        <v>1013.67</v>
      </c>
      <c r="I93" s="60">
        <f t="shared" si="62"/>
        <v>0.59056694979628477</v>
      </c>
      <c r="J93" s="59">
        <f t="shared" si="63"/>
        <v>415.03</v>
      </c>
      <c r="K93" s="59">
        <f t="shared" si="64"/>
        <v>435.78149999999999</v>
      </c>
      <c r="L93" s="81">
        <f t="shared" si="65"/>
        <v>415.03</v>
      </c>
      <c r="M93" s="59">
        <f t="shared" si="66"/>
        <v>435.78149999999999</v>
      </c>
      <c r="N93" s="58"/>
      <c r="O93" s="58"/>
      <c r="P93" s="59">
        <f t="shared" si="68"/>
        <v>415.03</v>
      </c>
      <c r="Q93" s="59">
        <v>0</v>
      </c>
      <c r="R93" s="60"/>
    </row>
    <row r="94" spans="1:18" x14ac:dyDescent="0.25">
      <c r="A94" s="17"/>
      <c r="B94" s="19">
        <v>12025728001</v>
      </c>
      <c r="C94" s="19" t="s">
        <v>82</v>
      </c>
      <c r="D94" s="23"/>
      <c r="E94" s="27">
        <v>1</v>
      </c>
      <c r="F94" s="63">
        <v>12025728001</v>
      </c>
      <c r="G94" s="59">
        <v>27.94</v>
      </c>
      <c r="H94" s="59">
        <v>57.92</v>
      </c>
      <c r="I94" s="60">
        <f t="shared" si="62"/>
        <v>0.51761049723756902</v>
      </c>
      <c r="J94" s="59">
        <f t="shared" si="63"/>
        <v>27.94</v>
      </c>
      <c r="K94" s="59">
        <f t="shared" si="64"/>
        <v>29.337000000000003</v>
      </c>
      <c r="L94" s="81">
        <f t="shared" si="65"/>
        <v>27.94</v>
      </c>
      <c r="M94" s="59">
        <f t="shared" si="66"/>
        <v>29.337000000000003</v>
      </c>
      <c r="N94" s="58"/>
      <c r="O94" s="58"/>
      <c r="P94" s="59">
        <f t="shared" si="68"/>
        <v>27.94</v>
      </c>
      <c r="Q94" s="59">
        <v>0</v>
      </c>
      <c r="R94" s="60"/>
    </row>
    <row r="95" spans="1:18" x14ac:dyDescent="0.25">
      <c r="A95" s="17"/>
      <c r="B95" s="19">
        <v>12025574001</v>
      </c>
      <c r="C95" s="19" t="s">
        <v>83</v>
      </c>
      <c r="D95" s="23"/>
      <c r="E95" s="27">
        <v>1</v>
      </c>
      <c r="F95" s="63">
        <v>12025574001</v>
      </c>
      <c r="G95" s="59">
        <v>139.29</v>
      </c>
      <c r="H95" s="59">
        <v>217.22</v>
      </c>
      <c r="I95" s="60">
        <f t="shared" si="62"/>
        <v>0.35876070343430627</v>
      </c>
      <c r="J95" s="59">
        <f t="shared" si="63"/>
        <v>139.29</v>
      </c>
      <c r="K95" s="59">
        <f t="shared" si="64"/>
        <v>146.25450000000001</v>
      </c>
      <c r="L95" s="81">
        <f t="shared" si="65"/>
        <v>139.29</v>
      </c>
      <c r="M95" s="59">
        <f t="shared" si="66"/>
        <v>146.25450000000001</v>
      </c>
      <c r="N95" s="58"/>
      <c r="O95" s="58"/>
      <c r="P95" s="59">
        <f t="shared" si="68"/>
        <v>139.29</v>
      </c>
      <c r="Q95" s="59">
        <v>0</v>
      </c>
      <c r="R95" s="60"/>
    </row>
    <row r="96" spans="1:18" x14ac:dyDescent="0.25">
      <c r="B96" s="98">
        <v>6390501001</v>
      </c>
      <c r="C96" s="99" t="s">
        <v>84</v>
      </c>
      <c r="D96" s="95"/>
      <c r="E96" s="89">
        <v>1</v>
      </c>
      <c r="F96" s="63">
        <v>6390501001</v>
      </c>
      <c r="G96" s="59">
        <v>27594</v>
      </c>
      <c r="H96" s="59">
        <v>36432.703125000007</v>
      </c>
      <c r="I96" s="60">
        <f t="shared" si="62"/>
        <v>0.24260355029585814</v>
      </c>
      <c r="J96" s="59">
        <f t="shared" si="63"/>
        <v>27594</v>
      </c>
      <c r="K96" s="59">
        <f t="shared" si="64"/>
        <v>28973.7</v>
      </c>
      <c r="L96" s="81">
        <f t="shared" si="65"/>
        <v>27594</v>
      </c>
      <c r="M96" s="59">
        <f t="shared" si="66"/>
        <v>28973.7</v>
      </c>
      <c r="N96" s="58"/>
      <c r="O96" s="58"/>
      <c r="P96" s="81">
        <f>G96/$A$87</f>
        <v>766.5</v>
      </c>
      <c r="Q96" s="59">
        <f t="shared" ref="Q96" si="69">P96</f>
        <v>766.5</v>
      </c>
      <c r="R96" s="60"/>
    </row>
    <row r="97" spans="1:18" x14ac:dyDescent="0.25">
      <c r="B97" s="26">
        <v>7127162001</v>
      </c>
      <c r="C97" s="25" t="s">
        <v>85</v>
      </c>
      <c r="D97" s="14"/>
      <c r="E97" s="19">
        <v>1</v>
      </c>
      <c r="F97" s="63">
        <v>7127162001</v>
      </c>
      <c r="G97" s="59">
        <v>76.67</v>
      </c>
      <c r="H97" s="59">
        <v>101.22835937500003</v>
      </c>
      <c r="I97" s="60">
        <f t="shared" si="62"/>
        <v>0.24260355029585814</v>
      </c>
      <c r="J97" s="59">
        <f t="shared" si="63"/>
        <v>76.67</v>
      </c>
      <c r="K97" s="59">
        <f t="shared" si="64"/>
        <v>80.503500000000003</v>
      </c>
      <c r="L97" s="81">
        <f t="shared" si="65"/>
        <v>76.67</v>
      </c>
      <c r="M97" s="59">
        <f t="shared" si="66"/>
        <v>80.503500000000003</v>
      </c>
      <c r="N97" s="58"/>
      <c r="O97" s="58"/>
      <c r="P97" s="59">
        <f t="shared" ref="P97:P100" si="70">L97</f>
        <v>76.67</v>
      </c>
      <c r="Q97" s="59">
        <v>0</v>
      </c>
      <c r="R97" s="60"/>
    </row>
    <row r="98" spans="1:18" x14ac:dyDescent="0.25">
      <c r="B98" s="26">
        <v>7127189001</v>
      </c>
      <c r="C98" s="25" t="s">
        <v>86</v>
      </c>
      <c r="D98" s="15"/>
      <c r="E98" s="20">
        <v>1</v>
      </c>
      <c r="F98" s="63">
        <v>7127189001</v>
      </c>
      <c r="G98" s="59">
        <v>106.37</v>
      </c>
      <c r="H98" s="59">
        <v>140.44164062500002</v>
      </c>
      <c r="I98" s="60">
        <f t="shared" si="62"/>
        <v>0.24260355029585806</v>
      </c>
      <c r="J98" s="59">
        <f t="shared" si="63"/>
        <v>106.37</v>
      </c>
      <c r="K98" s="59">
        <f t="shared" si="64"/>
        <v>111.6885</v>
      </c>
      <c r="L98" s="81">
        <f t="shared" si="65"/>
        <v>106.37</v>
      </c>
      <c r="M98" s="59">
        <f t="shared" si="66"/>
        <v>111.6885</v>
      </c>
      <c r="N98" s="58"/>
      <c r="O98" s="58"/>
      <c r="P98" s="59">
        <f t="shared" si="70"/>
        <v>106.37</v>
      </c>
      <c r="Q98" s="59">
        <v>0</v>
      </c>
      <c r="R98" s="60"/>
    </row>
    <row r="99" spans="1:18" x14ac:dyDescent="0.25">
      <c r="B99" s="14" t="s">
        <v>149</v>
      </c>
      <c r="C99" s="14" t="s">
        <v>87</v>
      </c>
      <c r="D99" s="14"/>
      <c r="E99" s="19">
        <v>1</v>
      </c>
      <c r="F99" s="63">
        <v>7418183001</v>
      </c>
      <c r="G99" s="59">
        <v>820</v>
      </c>
      <c r="H99" s="59">
        <v>866</v>
      </c>
      <c r="I99" s="60">
        <f t="shared" si="62"/>
        <v>5.3117782909930716E-2</v>
      </c>
      <c r="J99" s="59">
        <f t="shared" si="63"/>
        <v>820</v>
      </c>
      <c r="K99" s="59">
        <f t="shared" si="64"/>
        <v>861</v>
      </c>
      <c r="L99" s="81">
        <f t="shared" si="65"/>
        <v>820</v>
      </c>
      <c r="M99" s="59">
        <f t="shared" si="66"/>
        <v>861</v>
      </c>
      <c r="N99" s="58"/>
      <c r="O99" s="58"/>
      <c r="P99" s="59">
        <f t="shared" si="70"/>
        <v>820</v>
      </c>
      <c r="Q99" s="59">
        <v>0</v>
      </c>
    </row>
    <row r="100" spans="1:18" x14ac:dyDescent="0.25">
      <c r="B100" s="14">
        <v>5551471001</v>
      </c>
      <c r="C100" s="14" t="s">
        <v>74</v>
      </c>
      <c r="D100" s="14"/>
      <c r="E100" s="19">
        <v>1</v>
      </c>
      <c r="F100" s="63">
        <v>5551471001</v>
      </c>
      <c r="G100" s="59">
        <v>147.94999999999999</v>
      </c>
      <c r="H100" s="59">
        <v>202.73</v>
      </c>
      <c r="I100" s="60">
        <f>(H100-G100)/H100</f>
        <v>0.27021161150298428</v>
      </c>
      <c r="J100" s="59">
        <f>G100</f>
        <v>147.94999999999999</v>
      </c>
      <c r="K100" s="59">
        <f t="shared" si="64"/>
        <v>155.3475</v>
      </c>
      <c r="L100" s="81">
        <f t="shared" si="65"/>
        <v>147.94999999999999</v>
      </c>
      <c r="M100" s="59">
        <f t="shared" si="66"/>
        <v>155.3475</v>
      </c>
      <c r="N100" s="58"/>
      <c r="O100" s="58"/>
      <c r="P100" s="59">
        <f t="shared" si="70"/>
        <v>147.94999999999999</v>
      </c>
      <c r="Q100" s="59">
        <v>0</v>
      </c>
      <c r="R100" s="60"/>
    </row>
    <row r="101" spans="1:18" x14ac:dyDescent="0.25">
      <c r="B101" s="43" t="s">
        <v>46</v>
      </c>
      <c r="C101" s="51" t="s">
        <v>47</v>
      </c>
      <c r="D101" s="51"/>
      <c r="E101" s="53"/>
      <c r="J101" s="59"/>
      <c r="K101" s="59"/>
      <c r="N101" s="58"/>
      <c r="O101" s="58"/>
    </row>
    <row r="102" spans="1:18" x14ac:dyDescent="0.25">
      <c r="B102" s="14">
        <v>6274269001</v>
      </c>
      <c r="C102" s="14" t="s">
        <v>125</v>
      </c>
      <c r="D102" s="14"/>
      <c r="E102" s="19">
        <v>2</v>
      </c>
      <c r="F102" s="63">
        <v>6274269001</v>
      </c>
      <c r="G102" s="59">
        <v>17.8</v>
      </c>
      <c r="H102" s="59">
        <v>35.6</v>
      </c>
      <c r="I102" s="60">
        <f t="shared" ref="I102:I108" si="71">(H102-G102)/H102</f>
        <v>0.5</v>
      </c>
      <c r="J102" s="59">
        <f t="shared" ref="J102:J108" si="72">G102</f>
        <v>17.8</v>
      </c>
      <c r="K102" s="59">
        <f t="shared" ref="K102:K108" si="73">G102*(1+$K$2)</f>
        <v>18.690000000000001</v>
      </c>
      <c r="L102" s="81">
        <f t="shared" ref="L102:L108" si="74">E102*G102</f>
        <v>35.6</v>
      </c>
      <c r="M102" s="59">
        <f t="shared" ref="M102:M108" si="75">K102*E102</f>
        <v>37.380000000000003</v>
      </c>
      <c r="N102" s="58"/>
      <c r="O102" s="58"/>
      <c r="P102" s="59">
        <f t="shared" ref="P102:P108" si="76">L102</f>
        <v>35.6</v>
      </c>
      <c r="Q102" s="59">
        <v>0</v>
      </c>
      <c r="R102" s="60"/>
    </row>
    <row r="103" spans="1:18" x14ac:dyDescent="0.25">
      <c r="B103" s="14">
        <v>7165790001</v>
      </c>
      <c r="C103" s="14" t="s">
        <v>126</v>
      </c>
      <c r="D103" s="14"/>
      <c r="E103" s="19">
        <v>1</v>
      </c>
      <c r="F103" s="63">
        <v>7165790001</v>
      </c>
      <c r="G103" s="59">
        <v>209.4</v>
      </c>
      <c r="H103" s="59">
        <v>418.8</v>
      </c>
      <c r="I103" s="60">
        <f t="shared" si="71"/>
        <v>0.5</v>
      </c>
      <c r="J103" s="59">
        <f t="shared" si="72"/>
        <v>209.4</v>
      </c>
      <c r="K103" s="59">
        <f t="shared" si="73"/>
        <v>219.87</v>
      </c>
      <c r="L103" s="81">
        <f t="shared" si="74"/>
        <v>209.4</v>
      </c>
      <c r="M103" s="59">
        <f t="shared" si="75"/>
        <v>219.87</v>
      </c>
      <c r="N103" s="58"/>
      <c r="O103" s="58"/>
      <c r="P103" s="59">
        <f t="shared" si="76"/>
        <v>209.4</v>
      </c>
      <c r="Q103" s="59">
        <v>0</v>
      </c>
      <c r="R103" s="60"/>
    </row>
    <row r="104" spans="1:18" x14ac:dyDescent="0.25">
      <c r="B104" s="14">
        <v>6274196001</v>
      </c>
      <c r="C104" s="14" t="s">
        <v>127</v>
      </c>
      <c r="D104" s="14"/>
      <c r="E104" s="19">
        <v>1</v>
      </c>
      <c r="F104" s="63">
        <v>6274196001</v>
      </c>
      <c r="G104" s="59">
        <v>223.1</v>
      </c>
      <c r="H104" s="59">
        <v>446.2</v>
      </c>
      <c r="I104" s="60">
        <f t="shared" si="71"/>
        <v>0.5</v>
      </c>
      <c r="J104" s="59">
        <f t="shared" si="72"/>
        <v>223.1</v>
      </c>
      <c r="K104" s="59">
        <f t="shared" si="73"/>
        <v>234.255</v>
      </c>
      <c r="L104" s="81">
        <f t="shared" si="74"/>
        <v>223.1</v>
      </c>
      <c r="M104" s="59">
        <f t="shared" si="75"/>
        <v>234.255</v>
      </c>
      <c r="N104" s="58"/>
      <c r="O104" s="58"/>
      <c r="P104" s="59">
        <f t="shared" si="76"/>
        <v>223.1</v>
      </c>
      <c r="Q104" s="59">
        <v>0</v>
      </c>
      <c r="R104" s="60"/>
    </row>
    <row r="105" spans="1:18" x14ac:dyDescent="0.25">
      <c r="B105" s="14">
        <v>7165471001</v>
      </c>
      <c r="C105" s="14" t="s">
        <v>128</v>
      </c>
      <c r="D105" s="14"/>
      <c r="E105" s="19">
        <v>1</v>
      </c>
      <c r="F105" s="63">
        <v>7165471001</v>
      </c>
      <c r="G105" s="59">
        <v>214.1</v>
      </c>
      <c r="H105" s="59">
        <v>428.2</v>
      </c>
      <c r="I105" s="60">
        <f t="shared" si="71"/>
        <v>0.5</v>
      </c>
      <c r="J105" s="59">
        <f t="shared" si="72"/>
        <v>214.1</v>
      </c>
      <c r="K105" s="59">
        <f t="shared" si="73"/>
        <v>224.80500000000001</v>
      </c>
      <c r="L105" s="81">
        <f t="shared" si="74"/>
        <v>214.1</v>
      </c>
      <c r="M105" s="59">
        <f t="shared" si="75"/>
        <v>224.80500000000001</v>
      </c>
      <c r="N105" s="58"/>
      <c r="O105" s="58"/>
      <c r="P105" s="59">
        <f t="shared" si="76"/>
        <v>214.1</v>
      </c>
      <c r="Q105" s="59">
        <v>0</v>
      </c>
      <c r="R105" s="60"/>
    </row>
    <row r="106" spans="1:18" x14ac:dyDescent="0.25">
      <c r="B106" s="14">
        <v>7315716001</v>
      </c>
      <c r="C106" s="14" t="s">
        <v>129</v>
      </c>
      <c r="D106" s="14"/>
      <c r="E106" s="19">
        <v>1</v>
      </c>
      <c r="F106" s="63">
        <v>7315716001</v>
      </c>
      <c r="G106" s="59">
        <v>9</v>
      </c>
      <c r="H106" s="59">
        <v>18</v>
      </c>
      <c r="I106" s="60">
        <f t="shared" si="71"/>
        <v>0.5</v>
      </c>
      <c r="J106" s="59">
        <f t="shared" si="72"/>
        <v>9</v>
      </c>
      <c r="K106" s="59">
        <f t="shared" si="73"/>
        <v>9.4500000000000011</v>
      </c>
      <c r="L106" s="81">
        <f t="shared" si="74"/>
        <v>9</v>
      </c>
      <c r="M106" s="59">
        <f t="shared" si="75"/>
        <v>9.4500000000000011</v>
      </c>
      <c r="N106" s="58"/>
      <c r="O106" s="58"/>
      <c r="P106" s="59">
        <f t="shared" si="76"/>
        <v>9</v>
      </c>
      <c r="Q106" s="59">
        <v>0</v>
      </c>
      <c r="R106" s="60"/>
    </row>
    <row r="107" spans="1:18" x14ac:dyDescent="0.25">
      <c r="B107" s="14">
        <v>7165455001</v>
      </c>
      <c r="C107" s="14" t="s">
        <v>130</v>
      </c>
      <c r="D107" s="14"/>
      <c r="E107" s="19">
        <v>1</v>
      </c>
      <c r="F107" s="63">
        <v>7165455001</v>
      </c>
      <c r="G107" s="59">
        <v>14</v>
      </c>
      <c r="H107" s="59">
        <v>28</v>
      </c>
      <c r="I107" s="60">
        <f t="shared" si="71"/>
        <v>0.5</v>
      </c>
      <c r="J107" s="59">
        <f t="shared" si="72"/>
        <v>14</v>
      </c>
      <c r="K107" s="59">
        <f t="shared" si="73"/>
        <v>14.700000000000001</v>
      </c>
      <c r="L107" s="81">
        <f t="shared" si="74"/>
        <v>14</v>
      </c>
      <c r="M107" s="59">
        <f t="shared" si="75"/>
        <v>14.700000000000001</v>
      </c>
      <c r="N107" s="58"/>
      <c r="O107" s="58"/>
      <c r="P107" s="59">
        <f t="shared" si="76"/>
        <v>14</v>
      </c>
      <c r="Q107" s="59">
        <v>0</v>
      </c>
      <c r="R107" s="60"/>
    </row>
    <row r="108" spans="1:18" ht="15.75" thickBot="1" x14ac:dyDescent="0.3">
      <c r="B108" s="12" t="s">
        <v>142</v>
      </c>
      <c r="C108" s="11" t="s">
        <v>115</v>
      </c>
      <c r="D108" s="41"/>
      <c r="E108" s="19">
        <v>20</v>
      </c>
      <c r="F108" s="63" t="s">
        <v>142</v>
      </c>
      <c r="G108" s="59">
        <v>12.17</v>
      </c>
      <c r="H108" s="59">
        <v>24.98</v>
      </c>
      <c r="I108" s="60">
        <f t="shared" si="71"/>
        <v>0.5128102481985588</v>
      </c>
      <c r="J108" s="59">
        <f t="shared" si="72"/>
        <v>12.17</v>
      </c>
      <c r="K108" s="59">
        <f t="shared" si="73"/>
        <v>12.778500000000001</v>
      </c>
      <c r="L108" s="81">
        <f t="shared" si="74"/>
        <v>243.4</v>
      </c>
      <c r="M108" s="59">
        <f t="shared" si="75"/>
        <v>255.57000000000002</v>
      </c>
      <c r="N108" s="58"/>
      <c r="O108" s="58"/>
      <c r="P108" s="59">
        <f t="shared" si="76"/>
        <v>243.4</v>
      </c>
      <c r="Q108" s="59">
        <v>0</v>
      </c>
      <c r="R108" s="60"/>
    </row>
    <row r="109" spans="1:18" ht="15.75" thickBot="1" x14ac:dyDescent="0.3">
      <c r="B109" s="177" t="s">
        <v>51</v>
      </c>
      <c r="C109" s="178"/>
      <c r="D109" s="18"/>
      <c r="J109" s="59"/>
      <c r="K109" s="59"/>
      <c r="N109" s="58"/>
      <c r="O109" s="58"/>
    </row>
    <row r="110" spans="1:18" x14ac:dyDescent="0.25">
      <c r="J110" s="59"/>
      <c r="K110" s="59"/>
      <c r="N110" s="58"/>
      <c r="O110" s="58"/>
    </row>
    <row r="111" spans="1:18" x14ac:dyDescent="0.25">
      <c r="J111" s="59"/>
      <c r="K111" s="59"/>
      <c r="N111" s="58"/>
      <c r="O111" s="58"/>
    </row>
    <row r="112" spans="1:18" x14ac:dyDescent="0.25">
      <c r="A112" s="17" t="s">
        <v>69</v>
      </c>
      <c r="B112" s="1" t="s">
        <v>46</v>
      </c>
      <c r="C112" s="1" t="s">
        <v>47</v>
      </c>
      <c r="D112" s="1" t="s">
        <v>48</v>
      </c>
      <c r="E112" s="1" t="s">
        <v>72</v>
      </c>
      <c r="J112" s="59"/>
      <c r="K112" s="59"/>
      <c r="N112" s="58"/>
      <c r="O112" s="58"/>
    </row>
    <row r="113" spans="1:18" s="70" customFormat="1" x14ac:dyDescent="0.25">
      <c r="A113" s="17">
        <v>36</v>
      </c>
      <c r="B113" s="1"/>
      <c r="C113" s="1" t="s">
        <v>161</v>
      </c>
      <c r="D113" s="1"/>
      <c r="E113" s="1"/>
      <c r="F113" s="68"/>
      <c r="G113" s="69">
        <f>SUM(G114:G116)</f>
        <v>14396.3</v>
      </c>
      <c r="H113" s="69">
        <f>SUM(H114:H116)</f>
        <v>16932.03</v>
      </c>
      <c r="J113" s="69">
        <f>SUM(J114:J116)</f>
        <v>14396.3</v>
      </c>
      <c r="K113" s="69">
        <f>SUM(K114:K116)</f>
        <v>15116.115</v>
      </c>
      <c r="L113" s="69">
        <f t="shared" ref="L113:M113" si="77">SUM(L114:L116)</f>
        <v>14396.3</v>
      </c>
      <c r="M113" s="69">
        <f t="shared" si="77"/>
        <v>15116.115</v>
      </c>
      <c r="N113" s="79">
        <f>-PV($N$2,A113,M113/A113)</f>
        <v>14952.348588207189</v>
      </c>
      <c r="O113" s="79">
        <f>ROUND(N113/A113,0)</f>
        <v>415</v>
      </c>
      <c r="P113" s="69"/>
      <c r="Q113" s="69"/>
    </row>
    <row r="114" spans="1:18" x14ac:dyDescent="0.25">
      <c r="B114" s="95">
        <v>5122287001</v>
      </c>
      <c r="C114" s="95" t="s">
        <v>88</v>
      </c>
      <c r="D114" s="95"/>
      <c r="E114" s="89">
        <v>1</v>
      </c>
      <c r="F114" s="63">
        <v>5122287001</v>
      </c>
      <c r="G114" s="59">
        <v>13555</v>
      </c>
      <c r="H114" s="59">
        <v>15494.67</v>
      </c>
      <c r="I114" s="60">
        <f t="shared" ref="I114:I116" si="78">(H114-G114)/H114</f>
        <v>0.12518304681545331</v>
      </c>
      <c r="J114" s="59">
        <f t="shared" ref="J114:J116" si="79">G114</f>
        <v>13555</v>
      </c>
      <c r="K114" s="59">
        <f t="shared" ref="K114:K116" si="80">G114*(1+$K$2)</f>
        <v>14232.75</v>
      </c>
      <c r="L114" s="81">
        <f t="shared" ref="L114:L116" si="81">E114*G114</f>
        <v>13555</v>
      </c>
      <c r="M114" s="59">
        <f t="shared" ref="M114:M116" si="82">K114*E114</f>
        <v>14232.75</v>
      </c>
      <c r="N114" s="58"/>
      <c r="O114" s="58"/>
      <c r="P114" s="81">
        <f>G114/$A$113</f>
        <v>376.52777777777777</v>
      </c>
      <c r="Q114" s="59">
        <f t="shared" ref="Q114" si="83">P114</f>
        <v>376.52777777777777</v>
      </c>
      <c r="R114" s="60"/>
    </row>
    <row r="115" spans="1:18" x14ac:dyDescent="0.25">
      <c r="B115" s="14">
        <v>5342481001</v>
      </c>
      <c r="C115" s="14" t="s">
        <v>89</v>
      </c>
      <c r="D115" s="14"/>
      <c r="E115" s="19">
        <v>1</v>
      </c>
      <c r="F115" s="63">
        <v>5342481001</v>
      </c>
      <c r="G115" s="59">
        <v>541.29999999999995</v>
      </c>
      <c r="H115" s="59">
        <v>987.36</v>
      </c>
      <c r="I115" s="60">
        <f t="shared" si="78"/>
        <v>0.45177037757251665</v>
      </c>
      <c r="J115" s="59">
        <f t="shared" si="79"/>
        <v>541.29999999999995</v>
      </c>
      <c r="K115" s="59">
        <f t="shared" si="80"/>
        <v>568.36500000000001</v>
      </c>
      <c r="L115" s="81">
        <f t="shared" si="81"/>
        <v>541.29999999999995</v>
      </c>
      <c r="M115" s="59">
        <f t="shared" si="82"/>
        <v>568.36500000000001</v>
      </c>
      <c r="N115" s="58"/>
      <c r="O115" s="58"/>
      <c r="P115" s="59">
        <f t="shared" ref="P115:P116" si="84">L115</f>
        <v>541.29999999999995</v>
      </c>
      <c r="Q115" s="59">
        <v>0</v>
      </c>
      <c r="R115" s="60"/>
    </row>
    <row r="116" spans="1:18" ht="15.75" thickBot="1" x14ac:dyDescent="0.3">
      <c r="B116" s="14"/>
      <c r="C116" s="14" t="s">
        <v>90</v>
      </c>
      <c r="D116" s="14"/>
      <c r="E116" s="19">
        <v>1</v>
      </c>
      <c r="G116" s="59">
        <v>300</v>
      </c>
      <c r="H116" s="59">
        <v>450</v>
      </c>
      <c r="I116" s="60">
        <f t="shared" si="78"/>
        <v>0.33333333333333331</v>
      </c>
      <c r="J116" s="59">
        <f t="shared" si="79"/>
        <v>300</v>
      </c>
      <c r="K116" s="59">
        <f t="shared" si="80"/>
        <v>315</v>
      </c>
      <c r="L116" s="81">
        <f t="shared" si="81"/>
        <v>300</v>
      </c>
      <c r="M116" s="59">
        <f t="shared" si="82"/>
        <v>315</v>
      </c>
      <c r="N116" s="58"/>
      <c r="O116" s="58"/>
      <c r="P116" s="59">
        <f t="shared" si="84"/>
        <v>300</v>
      </c>
      <c r="Q116" s="59">
        <v>0</v>
      </c>
    </row>
    <row r="117" spans="1:18" ht="15.75" thickBot="1" x14ac:dyDescent="0.3">
      <c r="B117" s="177" t="s">
        <v>51</v>
      </c>
      <c r="C117" s="178"/>
      <c r="D117" s="18"/>
      <c r="J117" s="59"/>
      <c r="K117" s="59"/>
      <c r="N117" s="58"/>
      <c r="O117" s="58"/>
    </row>
    <row r="118" spans="1:18" x14ac:dyDescent="0.25">
      <c r="J118" s="59"/>
      <c r="K118" s="59"/>
      <c r="N118" s="58"/>
      <c r="O118" s="58"/>
    </row>
    <row r="119" spans="1:18" x14ac:dyDescent="0.25">
      <c r="J119" s="59"/>
      <c r="K119" s="59"/>
      <c r="N119" s="58"/>
      <c r="O119" s="58"/>
    </row>
    <row r="120" spans="1:18" x14ac:dyDescent="0.25">
      <c r="A120" s="17" t="s">
        <v>70</v>
      </c>
      <c r="B120" s="1" t="s">
        <v>46</v>
      </c>
      <c r="C120" s="1" t="s">
        <v>47</v>
      </c>
      <c r="D120" s="1" t="s">
        <v>48</v>
      </c>
      <c r="E120" s="1" t="s">
        <v>72</v>
      </c>
      <c r="J120" s="59"/>
      <c r="K120" s="59"/>
      <c r="N120" s="58"/>
      <c r="O120" s="58"/>
    </row>
    <row r="121" spans="1:18" s="70" customFormat="1" x14ac:dyDescent="0.25">
      <c r="A121" s="17">
        <v>36</v>
      </c>
      <c r="B121" s="1"/>
      <c r="C121" s="1" t="s">
        <v>161</v>
      </c>
      <c r="D121" s="1"/>
      <c r="E121" s="1"/>
      <c r="F121" s="68"/>
      <c r="G121" s="69">
        <f>SUM(G122:G125)</f>
        <v>472.33</v>
      </c>
      <c r="H121" s="69">
        <f>SUM(H122:H125)</f>
        <v>1042.6300000000001</v>
      </c>
      <c r="J121" s="69">
        <f>SUM(J122:J125)</f>
        <v>472.33</v>
      </c>
      <c r="K121" s="69">
        <f>SUM(K122:K125)</f>
        <v>495.94650000000001</v>
      </c>
      <c r="L121" s="69">
        <f t="shared" ref="L121:M121" si="85">SUM(L122:L125)</f>
        <v>1889.32</v>
      </c>
      <c r="M121" s="69">
        <f t="shared" si="85"/>
        <v>1983.7860000000001</v>
      </c>
      <c r="N121" s="79">
        <f>-PV($N$2,A121,M121/A121)</f>
        <v>1962.2938695825737</v>
      </c>
      <c r="O121" s="79">
        <f>ROUND(N121/A121,0)</f>
        <v>55</v>
      </c>
      <c r="P121" s="69"/>
      <c r="Q121" s="69"/>
    </row>
    <row r="122" spans="1:18" x14ac:dyDescent="0.25">
      <c r="B122" s="14" t="s">
        <v>150</v>
      </c>
      <c r="C122" s="14" t="s">
        <v>91</v>
      </c>
      <c r="D122" s="14"/>
      <c r="E122" s="19">
        <v>4</v>
      </c>
      <c r="F122" s="63" t="s">
        <v>150</v>
      </c>
      <c r="G122" s="59">
        <v>21.46</v>
      </c>
      <c r="H122" s="59">
        <v>30.41</v>
      </c>
      <c r="I122" s="60">
        <f t="shared" ref="I122:I125" si="86">(H122-G122)/H122</f>
        <v>0.29431108188096017</v>
      </c>
      <c r="J122" s="59">
        <f t="shared" ref="J122:J125" si="87">G122</f>
        <v>21.46</v>
      </c>
      <c r="K122" s="59">
        <f t="shared" ref="K122:K125" si="88">G122*(1+$K$2)</f>
        <v>22.533000000000001</v>
      </c>
      <c r="L122" s="81">
        <f t="shared" ref="L122:L125" si="89">E122*G122</f>
        <v>85.84</v>
      </c>
      <c r="M122" s="59">
        <f t="shared" ref="M122:M125" si="90">K122*E122</f>
        <v>90.132000000000005</v>
      </c>
      <c r="N122" s="58"/>
      <c r="O122" s="58"/>
      <c r="P122" s="59">
        <f t="shared" ref="P122:P125" si="91">L122</f>
        <v>85.84</v>
      </c>
      <c r="Q122" s="59">
        <v>0</v>
      </c>
      <c r="R122" s="60"/>
    </row>
    <row r="123" spans="1:18" x14ac:dyDescent="0.25">
      <c r="B123" s="14" t="s">
        <v>151</v>
      </c>
      <c r="C123" s="14" t="s">
        <v>92</v>
      </c>
      <c r="D123" s="14"/>
      <c r="E123" s="19">
        <v>4</v>
      </c>
      <c r="F123" s="63" t="s">
        <v>151</v>
      </c>
      <c r="G123" s="59">
        <v>15.07</v>
      </c>
      <c r="H123" s="59">
        <v>27.51</v>
      </c>
      <c r="I123" s="60">
        <f t="shared" si="86"/>
        <v>0.45219920029080335</v>
      </c>
      <c r="J123" s="59">
        <f t="shared" si="87"/>
        <v>15.07</v>
      </c>
      <c r="K123" s="59">
        <f t="shared" si="88"/>
        <v>15.823500000000001</v>
      </c>
      <c r="L123" s="81">
        <f t="shared" si="89"/>
        <v>60.28</v>
      </c>
      <c r="M123" s="59">
        <f t="shared" si="90"/>
        <v>63.294000000000004</v>
      </c>
      <c r="N123" s="58"/>
      <c r="O123" s="58"/>
      <c r="P123" s="59">
        <f t="shared" si="91"/>
        <v>60.28</v>
      </c>
      <c r="Q123" s="59">
        <v>0</v>
      </c>
      <c r="R123" s="60"/>
    </row>
    <row r="124" spans="1:18" x14ac:dyDescent="0.25">
      <c r="B124" s="14" t="s">
        <v>152</v>
      </c>
      <c r="C124" s="14" t="s">
        <v>93</v>
      </c>
      <c r="D124" s="14"/>
      <c r="E124" s="19">
        <v>4</v>
      </c>
      <c r="F124" s="63" t="s">
        <v>152</v>
      </c>
      <c r="G124" s="59">
        <v>126.27</v>
      </c>
      <c r="H124" s="59">
        <v>260.66000000000003</v>
      </c>
      <c r="I124" s="60">
        <f t="shared" si="86"/>
        <v>0.51557584592956351</v>
      </c>
      <c r="J124" s="59">
        <f t="shared" si="87"/>
        <v>126.27</v>
      </c>
      <c r="K124" s="59">
        <f t="shared" si="88"/>
        <v>132.58350000000002</v>
      </c>
      <c r="L124" s="81">
        <f t="shared" si="89"/>
        <v>505.08</v>
      </c>
      <c r="M124" s="59">
        <f t="shared" si="90"/>
        <v>530.33400000000006</v>
      </c>
      <c r="N124" s="58"/>
      <c r="O124" s="58"/>
      <c r="P124" s="59">
        <f t="shared" si="91"/>
        <v>505.08</v>
      </c>
      <c r="Q124" s="59">
        <v>0</v>
      </c>
      <c r="R124" s="60"/>
    </row>
    <row r="125" spans="1:18" ht="15.75" thickBot="1" x14ac:dyDescent="0.3">
      <c r="B125" s="14" t="s">
        <v>153</v>
      </c>
      <c r="C125" s="14" t="s">
        <v>94</v>
      </c>
      <c r="D125" s="14"/>
      <c r="E125" s="19">
        <v>4</v>
      </c>
      <c r="F125" s="63" t="s">
        <v>153</v>
      </c>
      <c r="G125" s="59">
        <v>309.52999999999997</v>
      </c>
      <c r="H125" s="59">
        <v>724.05</v>
      </c>
      <c r="I125" s="60">
        <f t="shared" si="86"/>
        <v>0.5725018990401215</v>
      </c>
      <c r="J125" s="59">
        <f t="shared" si="87"/>
        <v>309.52999999999997</v>
      </c>
      <c r="K125" s="59">
        <f t="shared" si="88"/>
        <v>325.00649999999996</v>
      </c>
      <c r="L125" s="81">
        <f t="shared" si="89"/>
        <v>1238.1199999999999</v>
      </c>
      <c r="M125" s="59">
        <f t="shared" si="90"/>
        <v>1300.0259999999998</v>
      </c>
      <c r="N125" s="58"/>
      <c r="O125" s="58"/>
      <c r="P125" s="59">
        <f t="shared" si="91"/>
        <v>1238.1199999999999</v>
      </c>
      <c r="Q125" s="59">
        <v>0</v>
      </c>
      <c r="R125" s="60"/>
    </row>
    <row r="126" spans="1:18" ht="15.75" thickBot="1" x14ac:dyDescent="0.3">
      <c r="B126" s="177" t="s">
        <v>51</v>
      </c>
      <c r="C126" s="178"/>
      <c r="D126" s="18"/>
      <c r="J126" s="59"/>
      <c r="K126" s="59"/>
      <c r="N126" s="58"/>
      <c r="O126" s="58"/>
    </row>
    <row r="127" spans="1:18" x14ac:dyDescent="0.25">
      <c r="J127" s="59"/>
      <c r="K127" s="59"/>
      <c r="N127" s="58"/>
      <c r="O127" s="58"/>
    </row>
    <row r="128" spans="1:18" x14ac:dyDescent="0.25">
      <c r="J128" s="59"/>
      <c r="K128" s="59"/>
      <c r="N128" s="58"/>
      <c r="O128" s="58"/>
    </row>
    <row r="129" spans="1:18" x14ac:dyDescent="0.25">
      <c r="A129" s="17" t="s">
        <v>71</v>
      </c>
      <c r="B129" s="1" t="s">
        <v>46</v>
      </c>
      <c r="C129" s="1" t="s">
        <v>47</v>
      </c>
      <c r="D129" s="1" t="s">
        <v>48</v>
      </c>
      <c r="E129" s="1" t="s">
        <v>72</v>
      </c>
      <c r="J129" s="59"/>
      <c r="K129" s="59"/>
      <c r="N129" s="58"/>
      <c r="O129" s="58"/>
    </row>
    <row r="130" spans="1:18" s="70" customFormat="1" x14ac:dyDescent="0.25">
      <c r="A130" s="17">
        <v>36</v>
      </c>
      <c r="B130" s="1"/>
      <c r="C130" s="1" t="s">
        <v>161</v>
      </c>
      <c r="D130" s="1"/>
      <c r="E130" s="1"/>
      <c r="F130" s="68"/>
      <c r="G130" s="69">
        <f>G131</f>
        <v>733.06</v>
      </c>
      <c r="H130" s="69">
        <f>H131</f>
        <v>2012.86</v>
      </c>
      <c r="J130" s="69">
        <f>J131</f>
        <v>733.06</v>
      </c>
      <c r="K130" s="69">
        <f>K131</f>
        <v>769.71299999999997</v>
      </c>
      <c r="L130" s="69">
        <f t="shared" ref="L130:M130" si="92">L131</f>
        <v>733.06</v>
      </c>
      <c r="M130" s="69">
        <f t="shared" si="92"/>
        <v>769.71299999999997</v>
      </c>
      <c r="N130" s="79">
        <f>-PV($N$2,A130,M130/A130)</f>
        <v>761.37400971577142</v>
      </c>
      <c r="O130" s="79">
        <f>ROUND(N130/A130,0)</f>
        <v>21</v>
      </c>
      <c r="P130" s="69"/>
      <c r="Q130" s="69"/>
    </row>
    <row r="131" spans="1:18" ht="15.75" thickBot="1" x14ac:dyDescent="0.3">
      <c r="B131" s="14" t="s">
        <v>154</v>
      </c>
      <c r="C131" s="14" t="s">
        <v>95</v>
      </c>
      <c r="D131" s="14"/>
      <c r="E131" s="19">
        <v>1</v>
      </c>
      <c r="F131" s="63" t="s">
        <v>154</v>
      </c>
      <c r="G131" s="59">
        <v>733.06</v>
      </c>
      <c r="H131" s="59">
        <v>2012.86</v>
      </c>
      <c r="I131" s="60">
        <f t="shared" ref="I131" si="93">(H131-G131)/H131</f>
        <v>0.63581173057241935</v>
      </c>
      <c r="J131" s="59">
        <f>G131</f>
        <v>733.06</v>
      </c>
      <c r="K131" s="59">
        <f t="shared" ref="K131" si="94">G131*(1+$K$2)</f>
        <v>769.71299999999997</v>
      </c>
      <c r="L131" s="81">
        <f t="shared" ref="L131" si="95">E131*G131</f>
        <v>733.06</v>
      </c>
      <c r="M131" s="59">
        <f t="shared" ref="M131" si="96">K131*E131</f>
        <v>769.71299999999997</v>
      </c>
      <c r="N131" s="58"/>
      <c r="O131" s="58"/>
      <c r="P131" s="59">
        <f t="shared" ref="P131" si="97">L131</f>
        <v>733.06</v>
      </c>
      <c r="Q131" s="59">
        <v>0</v>
      </c>
      <c r="R131" s="60"/>
    </row>
    <row r="132" spans="1:18" ht="15.75" thickBot="1" x14ac:dyDescent="0.3">
      <c r="B132" s="177" t="s">
        <v>51</v>
      </c>
      <c r="C132" s="178"/>
      <c r="D132" s="18"/>
      <c r="J132" s="59"/>
      <c r="K132" s="59"/>
    </row>
    <row r="133" spans="1:18" x14ac:dyDescent="0.25">
      <c r="J133" s="59"/>
      <c r="K133" s="59"/>
      <c r="O133" s="66"/>
      <c r="P133" s="59">
        <f>SUM(P6:P132)</f>
        <v>28996.847777777773</v>
      </c>
      <c r="Q133" s="59">
        <f>SUM(Q6:Q132)</f>
        <v>11562.883333333335</v>
      </c>
    </row>
    <row r="134" spans="1:18" x14ac:dyDescent="0.25">
      <c r="O134" s="66"/>
    </row>
    <row r="137" spans="1:18" x14ac:dyDescent="0.25">
      <c r="Q137" s="59" t="s">
        <v>175</v>
      </c>
      <c r="R137" t="s">
        <v>176</v>
      </c>
    </row>
    <row r="138" spans="1:18" x14ac:dyDescent="0.25">
      <c r="P138" s="103" t="s">
        <v>172</v>
      </c>
      <c r="Q138" s="59">
        <f>SUM(O4:O131)*12</f>
        <v>74292</v>
      </c>
      <c r="R138" s="65">
        <f>Q138</f>
        <v>74292</v>
      </c>
    </row>
    <row r="139" spans="1:18" x14ac:dyDescent="0.25">
      <c r="P139" s="103" t="s">
        <v>167</v>
      </c>
      <c r="Q139" s="59">
        <f>SUM(P23,P25,P43,P44,P48,P59,P60,P61,P73,P74,P88,P96,P114)*12+L9</f>
        <v>72243.600000000006</v>
      </c>
      <c r="R139" s="81">
        <f>SUM(Q23,Q25,Q43,Q44,Q48,Q59,Q60,Q61,Q73,Q74,Q88,Q96,Q114)*12+Q9</f>
        <v>65635.600000000006</v>
      </c>
    </row>
    <row r="140" spans="1:18" x14ac:dyDescent="0.25">
      <c r="P140" s="103" t="s">
        <v>177</v>
      </c>
      <c r="Q140" s="59">
        <f>SUM(P131,P122:P125,P115:P116,P97:P100,P89:P95,P75:P77,P17:P20,P62:P63,P45:P46,P24,P26,P10:P14,P8)</f>
        <v>15759.67</v>
      </c>
      <c r="R140">
        <v>0</v>
      </c>
    </row>
    <row r="141" spans="1:18" x14ac:dyDescent="0.25">
      <c r="P141" s="103" t="s">
        <v>178</v>
      </c>
      <c r="Q141" s="59">
        <f>SUM(P79:P82,P65:P67,P50:P53,P28:P36)</f>
        <v>6093.2500000000018</v>
      </c>
      <c r="R141" s="65">
        <f>Q141</f>
        <v>6093.2500000000018</v>
      </c>
    </row>
    <row r="142" spans="1:18" x14ac:dyDescent="0.25">
      <c r="P142" s="103" t="s">
        <v>173</v>
      </c>
      <c r="Q142" s="59">
        <f>Q138-Q139-Q140-Q141</f>
        <v>-19804.520000000008</v>
      </c>
      <c r="R142" s="59">
        <f>R138-R139-R140-R141</f>
        <v>2563.1499999999924</v>
      </c>
    </row>
    <row r="143" spans="1:18" x14ac:dyDescent="0.25">
      <c r="P143" s="103" t="s">
        <v>174</v>
      </c>
      <c r="Q143" s="60">
        <f>Q142/Q138</f>
        <v>-0.26657675119797564</v>
      </c>
      <c r="R143" s="60">
        <f>R142/R138</f>
        <v>3.450102299036225E-2</v>
      </c>
    </row>
  </sheetData>
  <mergeCells count="8">
    <mergeCell ref="B109:C109"/>
    <mergeCell ref="B117:C117"/>
    <mergeCell ref="B126:C126"/>
    <mergeCell ref="B132:C132"/>
    <mergeCell ref="B37:C37"/>
    <mergeCell ref="B54:C54"/>
    <mergeCell ref="B68:C68"/>
    <mergeCell ref="B83:C83"/>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3"/>
  <sheetViews>
    <sheetView tabSelected="1" zoomScale="90" zoomScaleNormal="90" workbookViewId="0">
      <selection activeCell="N345" sqref="N345"/>
    </sheetView>
  </sheetViews>
  <sheetFormatPr defaultRowHeight="15" x14ac:dyDescent="0.25"/>
  <cols>
    <col min="1" max="1" width="5.140625" style="126" customWidth="1"/>
    <col min="2" max="2" width="45.5703125" style="126" bestFit="1" customWidth="1"/>
    <col min="3" max="3" width="13.28515625" style="126" customWidth="1"/>
    <col min="4" max="4" width="16" style="126" bestFit="1" customWidth="1"/>
    <col min="5" max="5" width="11.42578125" style="126" customWidth="1"/>
    <col min="6" max="6" width="11" style="126" customWidth="1"/>
    <col min="7" max="7" width="10.7109375" style="126" customWidth="1"/>
    <col min="8" max="8" width="11" style="126" customWidth="1"/>
    <col min="9" max="9" width="15.7109375" style="126" customWidth="1"/>
    <col min="10" max="10" width="12.7109375" customWidth="1"/>
    <col min="13" max="13" width="11.5703125" bestFit="1" customWidth="1"/>
    <col min="14" max="14" width="10.5703125" bestFit="1" customWidth="1"/>
    <col min="15" max="15" width="12.5703125" customWidth="1"/>
    <col min="19" max="19" width="33.42578125" customWidth="1"/>
    <col min="20" max="20" width="17.85546875" customWidth="1"/>
    <col min="21" max="21" width="4.42578125" customWidth="1"/>
    <col min="22" max="24" width="9.140625" customWidth="1"/>
  </cols>
  <sheetData>
    <row r="1" spans="1:15" x14ac:dyDescent="0.25">
      <c r="G1" s="182" t="s">
        <v>398</v>
      </c>
      <c r="H1" s="182"/>
      <c r="I1" s="182"/>
    </row>
    <row r="2" spans="1:15" x14ac:dyDescent="0.25">
      <c r="A2" s="183" t="s">
        <v>399</v>
      </c>
      <c r="B2" s="183"/>
      <c r="C2" s="183"/>
      <c r="D2" s="183"/>
      <c r="E2" s="183"/>
      <c r="F2" s="183"/>
      <c r="G2" s="183"/>
      <c r="H2" s="183"/>
      <c r="I2" s="183"/>
    </row>
    <row r="3" spans="1:15" x14ac:dyDescent="0.25">
      <c r="A3" s="183" t="s">
        <v>186</v>
      </c>
      <c r="B3" s="183"/>
      <c r="C3" s="183"/>
      <c r="D3" s="183"/>
      <c r="E3" s="183"/>
      <c r="F3" s="183"/>
      <c r="G3" s="183"/>
      <c r="H3" s="183"/>
      <c r="I3" s="183"/>
    </row>
    <row r="4" spans="1:15" x14ac:dyDescent="0.25">
      <c r="A4" s="127"/>
      <c r="B4" s="127"/>
      <c r="C4" s="127"/>
      <c r="D4" s="127"/>
      <c r="E4" s="127"/>
      <c r="F4" s="127"/>
      <c r="G4" s="127"/>
      <c r="H4" s="127"/>
      <c r="I4" s="127"/>
    </row>
    <row r="5" spans="1:15" x14ac:dyDescent="0.25">
      <c r="A5" s="183" t="s">
        <v>400</v>
      </c>
      <c r="B5" s="183"/>
      <c r="C5" s="183"/>
      <c r="D5" s="183"/>
      <c r="E5" s="183"/>
      <c r="F5" s="183"/>
      <c r="G5" s="183"/>
      <c r="H5" s="183"/>
      <c r="I5" s="183"/>
    </row>
    <row r="6" spans="1:15" x14ac:dyDescent="0.25">
      <c r="A6" s="183" t="s">
        <v>401</v>
      </c>
      <c r="B6" s="183"/>
      <c r="C6" s="183"/>
      <c r="D6" s="183"/>
      <c r="E6" s="183"/>
      <c r="F6" s="183"/>
      <c r="G6" s="183"/>
      <c r="H6" s="183"/>
      <c r="I6" s="183"/>
    </row>
    <row r="7" spans="1:15" x14ac:dyDescent="0.25">
      <c r="G7" s="128" t="s">
        <v>402</v>
      </c>
    </row>
    <row r="9" spans="1:15" ht="72.75" customHeight="1" x14ac:dyDescent="0.25">
      <c r="A9" s="129" t="s">
        <v>403</v>
      </c>
      <c r="B9" s="130" t="s">
        <v>187</v>
      </c>
      <c r="C9" s="130" t="s">
        <v>188</v>
      </c>
      <c r="D9" s="130" t="s">
        <v>404</v>
      </c>
      <c r="E9" s="130" t="s">
        <v>189</v>
      </c>
      <c r="F9" s="130" t="s">
        <v>190</v>
      </c>
      <c r="G9" s="130" t="s">
        <v>405</v>
      </c>
      <c r="H9" s="130" t="s">
        <v>406</v>
      </c>
      <c r="I9" s="130" t="s">
        <v>191</v>
      </c>
      <c r="J9" s="131"/>
      <c r="K9" s="13"/>
      <c r="L9" s="118"/>
      <c r="M9" s="118"/>
      <c r="N9" s="118"/>
      <c r="O9" s="118"/>
    </row>
    <row r="10" spans="1:15" x14ac:dyDescent="0.25">
      <c r="A10" s="132">
        <v>1</v>
      </c>
      <c r="B10" s="132">
        <v>2</v>
      </c>
      <c r="C10" s="132">
        <v>3</v>
      </c>
      <c r="D10" s="132">
        <v>4</v>
      </c>
      <c r="E10" s="132">
        <v>5</v>
      </c>
      <c r="F10" s="132">
        <v>6</v>
      </c>
      <c r="G10" s="132">
        <v>7</v>
      </c>
      <c r="H10" s="132">
        <v>8</v>
      </c>
      <c r="I10" s="132">
        <v>9</v>
      </c>
    </row>
    <row r="11" spans="1:15" x14ac:dyDescent="0.25">
      <c r="A11" s="184" t="s">
        <v>407</v>
      </c>
      <c r="B11" s="184"/>
      <c r="C11" s="133"/>
      <c r="D11" s="133"/>
      <c r="E11" s="133"/>
      <c r="F11" s="133"/>
      <c r="G11" s="133"/>
      <c r="H11" s="133"/>
      <c r="I11" s="133"/>
    </row>
    <row r="12" spans="1:15" x14ac:dyDescent="0.25">
      <c r="A12" s="134" t="s">
        <v>408</v>
      </c>
      <c r="B12" s="135" t="s">
        <v>409</v>
      </c>
      <c r="C12" s="136">
        <v>3200</v>
      </c>
      <c r="D12" s="137">
        <v>16</v>
      </c>
      <c r="E12" s="137">
        <v>200</v>
      </c>
      <c r="F12" s="172">
        <v>130.71</v>
      </c>
      <c r="G12" s="138">
        <f>F12*D12</f>
        <v>2091.36</v>
      </c>
      <c r="H12" s="124">
        <f>ROUND(G12*1.05,2)</f>
        <v>2195.9299999999998</v>
      </c>
      <c r="I12" s="137">
        <v>11731459122</v>
      </c>
      <c r="J12" s="123"/>
      <c r="N12" s="120"/>
      <c r="O12" s="60"/>
    </row>
    <row r="13" spans="1:15" x14ac:dyDescent="0.25">
      <c r="A13" s="134" t="s">
        <v>193</v>
      </c>
      <c r="B13" s="121" t="s">
        <v>410</v>
      </c>
      <c r="C13" s="139"/>
      <c r="D13" s="139">
        <v>2</v>
      </c>
      <c r="E13" s="137" t="s">
        <v>411</v>
      </c>
      <c r="F13" s="172">
        <v>28.08</v>
      </c>
      <c r="G13" s="138">
        <f t="shared" ref="G13:G76" si="0">F13*D13</f>
        <v>56.16</v>
      </c>
      <c r="H13" s="124">
        <f t="shared" ref="H13:H76" si="1">ROUND(G13*1.05,2)</f>
        <v>58.97</v>
      </c>
      <c r="I13" s="137">
        <v>4738551190</v>
      </c>
      <c r="J13" s="123"/>
      <c r="N13" s="120"/>
      <c r="O13" s="60"/>
    </row>
    <row r="14" spans="1:15" x14ac:dyDescent="0.25">
      <c r="A14" s="134" t="s">
        <v>196</v>
      </c>
      <c r="B14" s="121" t="s">
        <v>412</v>
      </c>
      <c r="C14" s="139"/>
      <c r="D14" s="139">
        <v>1</v>
      </c>
      <c r="E14" s="137" t="s">
        <v>413</v>
      </c>
      <c r="F14" s="172">
        <v>37.36</v>
      </c>
      <c r="G14" s="138">
        <f t="shared" si="0"/>
        <v>37.36</v>
      </c>
      <c r="H14" s="124">
        <f t="shared" si="1"/>
        <v>39.229999999999997</v>
      </c>
      <c r="I14" s="137">
        <v>11731416922</v>
      </c>
      <c r="J14" s="123"/>
      <c r="N14" s="120"/>
      <c r="O14" s="60"/>
    </row>
    <row r="15" spans="1:15" x14ac:dyDescent="0.25">
      <c r="A15" s="134" t="s">
        <v>53</v>
      </c>
      <c r="B15" s="135" t="s">
        <v>414</v>
      </c>
      <c r="C15" s="136">
        <v>2400</v>
      </c>
      <c r="D15" s="137">
        <v>12</v>
      </c>
      <c r="E15" s="137">
        <v>200</v>
      </c>
      <c r="F15" s="173">
        <v>146.58000000000001</v>
      </c>
      <c r="G15" s="138">
        <f t="shared" si="0"/>
        <v>1758.96</v>
      </c>
      <c r="H15" s="124">
        <f t="shared" si="1"/>
        <v>1846.91</v>
      </c>
      <c r="I15" s="137">
        <v>6437281190</v>
      </c>
      <c r="J15" s="123"/>
      <c r="N15" s="120"/>
      <c r="O15" s="60"/>
    </row>
    <row r="16" spans="1:15" x14ac:dyDescent="0.25">
      <c r="A16" s="134" t="s">
        <v>201</v>
      </c>
      <c r="B16" s="121" t="s">
        <v>415</v>
      </c>
      <c r="C16" s="139"/>
      <c r="D16" s="139">
        <v>2</v>
      </c>
      <c r="E16" s="137" t="s">
        <v>416</v>
      </c>
      <c r="F16" s="172">
        <v>40</v>
      </c>
      <c r="G16" s="138">
        <f t="shared" si="0"/>
        <v>80</v>
      </c>
      <c r="H16" s="124">
        <f t="shared" si="1"/>
        <v>84</v>
      </c>
      <c r="I16" s="137">
        <v>6437290190</v>
      </c>
      <c r="J16" s="123"/>
      <c r="N16" s="120"/>
      <c r="O16" s="60"/>
    </row>
    <row r="17" spans="1:15" x14ac:dyDescent="0.25">
      <c r="A17" s="134" t="s">
        <v>204</v>
      </c>
      <c r="B17" s="121" t="s">
        <v>412</v>
      </c>
      <c r="C17" s="139"/>
      <c r="D17" s="139">
        <v>1</v>
      </c>
      <c r="E17" s="137" t="s">
        <v>413</v>
      </c>
      <c r="F17" s="172">
        <v>37.36</v>
      </c>
      <c r="G17" s="138">
        <f t="shared" si="0"/>
        <v>37.36</v>
      </c>
      <c r="H17" s="124">
        <f t="shared" si="1"/>
        <v>39.229999999999997</v>
      </c>
      <c r="I17" s="137">
        <v>11731416922</v>
      </c>
      <c r="J17" s="123"/>
      <c r="N17" s="120"/>
      <c r="O17" s="60"/>
    </row>
    <row r="18" spans="1:15" ht="25.5" x14ac:dyDescent="0.25">
      <c r="A18" s="134" t="s">
        <v>209</v>
      </c>
      <c r="B18" s="140" t="s">
        <v>417</v>
      </c>
      <c r="C18" s="136">
        <v>1200</v>
      </c>
      <c r="D18" s="137">
        <v>12</v>
      </c>
      <c r="E18" s="137">
        <v>100</v>
      </c>
      <c r="F18" s="173">
        <v>136.44999999999999</v>
      </c>
      <c r="G18" s="124">
        <f t="shared" si="0"/>
        <v>1637.3999999999999</v>
      </c>
      <c r="H18" s="124">
        <f t="shared" si="1"/>
        <v>1719.27</v>
      </c>
      <c r="I18" s="137">
        <v>4641655190</v>
      </c>
      <c r="J18" s="123"/>
      <c r="N18" s="120"/>
      <c r="O18" s="60"/>
    </row>
    <row r="19" spans="1:15" x14ac:dyDescent="0.25">
      <c r="A19" s="134" t="s">
        <v>210</v>
      </c>
      <c r="B19" s="121" t="s">
        <v>418</v>
      </c>
      <c r="C19" s="139"/>
      <c r="D19" s="139">
        <v>2</v>
      </c>
      <c r="E19" s="137" t="s">
        <v>416</v>
      </c>
      <c r="F19" s="172">
        <v>43.44</v>
      </c>
      <c r="G19" s="138">
        <f t="shared" si="0"/>
        <v>86.88</v>
      </c>
      <c r="H19" s="124">
        <f t="shared" si="1"/>
        <v>91.22</v>
      </c>
      <c r="I19" s="137">
        <v>4485220190</v>
      </c>
      <c r="J19" s="123"/>
      <c r="N19" s="120"/>
      <c r="O19" s="60"/>
    </row>
    <row r="20" spans="1:15" x14ac:dyDescent="0.25">
      <c r="A20" s="134" t="s">
        <v>212</v>
      </c>
      <c r="B20" s="121" t="s">
        <v>412</v>
      </c>
      <c r="C20" s="139"/>
      <c r="D20" s="139">
        <v>1</v>
      </c>
      <c r="E20" s="137" t="s">
        <v>413</v>
      </c>
      <c r="F20" s="172">
        <v>37.36</v>
      </c>
      <c r="G20" s="138">
        <f t="shared" si="0"/>
        <v>37.36</v>
      </c>
      <c r="H20" s="124">
        <f t="shared" si="1"/>
        <v>39.229999999999997</v>
      </c>
      <c r="I20" s="137">
        <v>11731416922</v>
      </c>
      <c r="J20" s="123"/>
      <c r="N20" s="120"/>
      <c r="O20" s="60"/>
    </row>
    <row r="21" spans="1:15" x14ac:dyDescent="0.25">
      <c r="A21" s="134" t="s">
        <v>65</v>
      </c>
      <c r="B21" s="135" t="s">
        <v>419</v>
      </c>
      <c r="C21" s="136">
        <v>1600</v>
      </c>
      <c r="D21" s="137">
        <v>16</v>
      </c>
      <c r="E21" s="137">
        <v>100</v>
      </c>
      <c r="F21" s="172">
        <v>139.02000000000001</v>
      </c>
      <c r="G21" s="138">
        <f t="shared" si="0"/>
        <v>2224.3200000000002</v>
      </c>
      <c r="H21" s="124">
        <f t="shared" si="1"/>
        <v>2335.54</v>
      </c>
      <c r="I21" s="137">
        <v>5390095190</v>
      </c>
      <c r="J21" s="123"/>
      <c r="N21" s="120"/>
      <c r="O21" s="60"/>
    </row>
    <row r="22" spans="1:15" x14ac:dyDescent="0.25">
      <c r="A22" s="134" t="s">
        <v>214</v>
      </c>
      <c r="B22" s="121" t="s">
        <v>420</v>
      </c>
      <c r="C22" s="139"/>
      <c r="D22" s="139">
        <v>1</v>
      </c>
      <c r="E22" s="137" t="s">
        <v>421</v>
      </c>
      <c r="F22" s="172">
        <v>72.400000000000006</v>
      </c>
      <c r="G22" s="138">
        <f t="shared" si="0"/>
        <v>72.400000000000006</v>
      </c>
      <c r="H22" s="124">
        <f t="shared" si="1"/>
        <v>76.02</v>
      </c>
      <c r="I22" s="137">
        <v>5162645190</v>
      </c>
      <c r="J22" s="123"/>
      <c r="N22" s="120"/>
      <c r="O22" s="60"/>
    </row>
    <row r="23" spans="1:15" x14ac:dyDescent="0.25">
      <c r="A23" s="134" t="s">
        <v>67</v>
      </c>
      <c r="B23" s="135" t="s">
        <v>422</v>
      </c>
      <c r="C23" s="141">
        <v>800</v>
      </c>
      <c r="D23" s="137">
        <v>8</v>
      </c>
      <c r="E23" s="137">
        <v>100</v>
      </c>
      <c r="F23" s="173">
        <v>127.27</v>
      </c>
      <c r="G23" s="138">
        <f t="shared" si="0"/>
        <v>1018.16</v>
      </c>
      <c r="H23" s="124">
        <f t="shared" si="1"/>
        <v>1069.07</v>
      </c>
      <c r="I23" s="137">
        <v>3737551190</v>
      </c>
      <c r="J23" s="123"/>
      <c r="N23" s="120"/>
      <c r="O23" s="60"/>
    </row>
    <row r="24" spans="1:15" x14ac:dyDescent="0.25">
      <c r="A24" s="134" t="s">
        <v>218</v>
      </c>
      <c r="B24" s="121" t="s">
        <v>423</v>
      </c>
      <c r="C24" s="139"/>
      <c r="D24" s="137">
        <v>2</v>
      </c>
      <c r="E24" s="137" t="s">
        <v>309</v>
      </c>
      <c r="F24" s="173">
        <v>40.79</v>
      </c>
      <c r="G24" s="138">
        <f t="shared" si="0"/>
        <v>81.58</v>
      </c>
      <c r="H24" s="124">
        <f t="shared" si="1"/>
        <v>85.66</v>
      </c>
      <c r="I24" s="137">
        <v>3737586190</v>
      </c>
      <c r="J24" s="123"/>
      <c r="N24" s="120"/>
      <c r="O24" s="60"/>
    </row>
    <row r="25" spans="1:15" x14ac:dyDescent="0.25">
      <c r="A25" s="134" t="s">
        <v>219</v>
      </c>
      <c r="B25" s="121" t="s">
        <v>424</v>
      </c>
      <c r="C25" s="139"/>
      <c r="D25" s="137">
        <v>1</v>
      </c>
      <c r="E25" s="142" t="s">
        <v>206</v>
      </c>
      <c r="F25" s="173">
        <v>103.97</v>
      </c>
      <c r="G25" s="138">
        <f t="shared" si="0"/>
        <v>103.97</v>
      </c>
      <c r="H25" s="124">
        <f t="shared" si="1"/>
        <v>109.17</v>
      </c>
      <c r="I25" s="137">
        <v>11776452922</v>
      </c>
      <c r="J25" s="123"/>
      <c r="N25" s="120"/>
      <c r="O25" s="60"/>
    </row>
    <row r="26" spans="1:15" ht="25.5" x14ac:dyDescent="0.25">
      <c r="A26" s="134" t="s">
        <v>69</v>
      </c>
      <c r="B26" s="143" t="s">
        <v>425</v>
      </c>
      <c r="C26" s="136">
        <v>15000</v>
      </c>
      <c r="D26" s="137">
        <v>150</v>
      </c>
      <c r="E26" s="137">
        <v>100</v>
      </c>
      <c r="F26" s="173">
        <v>234.6</v>
      </c>
      <c r="G26" s="124">
        <f t="shared" si="0"/>
        <v>35190</v>
      </c>
      <c r="H26" s="124">
        <f t="shared" si="1"/>
        <v>36949.5</v>
      </c>
      <c r="I26" s="137">
        <v>5092728190</v>
      </c>
      <c r="J26" s="123"/>
      <c r="N26" s="120"/>
      <c r="O26" s="60"/>
    </row>
    <row r="27" spans="1:15" x14ac:dyDescent="0.25">
      <c r="A27" s="134" t="s">
        <v>222</v>
      </c>
      <c r="B27" s="121" t="s">
        <v>426</v>
      </c>
      <c r="C27" s="139"/>
      <c r="D27" s="137">
        <v>1</v>
      </c>
      <c r="E27" s="137" t="s">
        <v>309</v>
      </c>
      <c r="F27" s="173">
        <v>43.44</v>
      </c>
      <c r="G27" s="138">
        <f t="shared" si="0"/>
        <v>43.44</v>
      </c>
      <c r="H27" s="124">
        <f t="shared" si="1"/>
        <v>45.61</v>
      </c>
      <c r="I27" s="137">
        <v>5092736190</v>
      </c>
      <c r="J27" s="123"/>
      <c r="N27" s="120"/>
      <c r="O27" s="60"/>
    </row>
    <row r="28" spans="1:15" x14ac:dyDescent="0.25">
      <c r="A28" s="134" t="s">
        <v>223</v>
      </c>
      <c r="B28" s="121" t="s">
        <v>427</v>
      </c>
      <c r="C28" s="139"/>
      <c r="D28" s="137">
        <v>4</v>
      </c>
      <c r="E28" s="137" t="s">
        <v>428</v>
      </c>
      <c r="F28" s="173">
        <v>27.51</v>
      </c>
      <c r="G28" s="138">
        <f t="shared" si="0"/>
        <v>110.04</v>
      </c>
      <c r="H28" s="124">
        <f t="shared" si="1"/>
        <v>115.54</v>
      </c>
      <c r="I28" s="137">
        <v>5095107922</v>
      </c>
      <c r="J28" s="123"/>
      <c r="N28" s="120"/>
      <c r="O28" s="60"/>
    </row>
    <row r="29" spans="1:15" x14ac:dyDescent="0.25">
      <c r="A29" s="134" t="s">
        <v>70</v>
      </c>
      <c r="B29" s="144" t="s">
        <v>429</v>
      </c>
      <c r="C29" s="141">
        <v>800</v>
      </c>
      <c r="D29" s="137">
        <v>8</v>
      </c>
      <c r="E29" s="137">
        <v>100</v>
      </c>
      <c r="F29" s="173">
        <v>309.57</v>
      </c>
      <c r="G29" s="138">
        <f t="shared" si="0"/>
        <v>2476.56</v>
      </c>
      <c r="H29" s="124">
        <f t="shared" si="1"/>
        <v>2600.39</v>
      </c>
      <c r="I29" s="137">
        <v>11972103122</v>
      </c>
      <c r="J29" s="123"/>
      <c r="N29" s="120"/>
      <c r="O29" s="60"/>
    </row>
    <row r="30" spans="1:15" x14ac:dyDescent="0.25">
      <c r="A30" s="134" t="s">
        <v>225</v>
      </c>
      <c r="B30" s="121" t="s">
        <v>430</v>
      </c>
      <c r="C30" s="139"/>
      <c r="D30" s="137">
        <v>1</v>
      </c>
      <c r="E30" s="137" t="s">
        <v>309</v>
      </c>
      <c r="F30" s="173">
        <v>58.43</v>
      </c>
      <c r="G30" s="138">
        <f t="shared" si="0"/>
        <v>58.43</v>
      </c>
      <c r="H30" s="124">
        <f t="shared" si="1"/>
        <v>61.35</v>
      </c>
      <c r="I30" s="137">
        <v>11972219122</v>
      </c>
      <c r="J30" s="123"/>
      <c r="N30" s="120"/>
      <c r="O30" s="60"/>
    </row>
    <row r="31" spans="1:15" x14ac:dyDescent="0.25">
      <c r="A31" s="145" t="s">
        <v>226</v>
      </c>
      <c r="B31" s="146" t="s">
        <v>431</v>
      </c>
      <c r="C31" s="139"/>
      <c r="D31" s="137">
        <v>1</v>
      </c>
      <c r="E31" s="137" t="s">
        <v>206</v>
      </c>
      <c r="F31" s="173">
        <v>72.98</v>
      </c>
      <c r="G31" s="124">
        <f t="shared" si="0"/>
        <v>72.98</v>
      </c>
      <c r="H31" s="124">
        <f t="shared" si="1"/>
        <v>76.63</v>
      </c>
      <c r="I31" s="147">
        <v>5618860190</v>
      </c>
      <c r="J31" s="123"/>
      <c r="N31" s="120"/>
      <c r="O31" s="60"/>
    </row>
    <row r="32" spans="1:15" x14ac:dyDescent="0.25">
      <c r="A32" s="134" t="s">
        <v>71</v>
      </c>
      <c r="B32" s="144" t="s">
        <v>432</v>
      </c>
      <c r="C32" s="141">
        <v>500</v>
      </c>
      <c r="D32" s="137">
        <v>5</v>
      </c>
      <c r="E32" s="137">
        <v>100</v>
      </c>
      <c r="F32" s="173">
        <v>370</v>
      </c>
      <c r="G32" s="138">
        <f t="shared" si="0"/>
        <v>1850</v>
      </c>
      <c r="H32" s="124">
        <f t="shared" si="1"/>
        <v>1942.5</v>
      </c>
      <c r="I32" s="137">
        <v>6368921190</v>
      </c>
      <c r="J32" s="123"/>
      <c r="N32" s="120"/>
      <c r="O32" s="60"/>
    </row>
    <row r="33" spans="1:15" x14ac:dyDescent="0.25">
      <c r="A33" s="134" t="s">
        <v>228</v>
      </c>
      <c r="B33" s="121" t="s">
        <v>433</v>
      </c>
      <c r="C33" s="139"/>
      <c r="D33" s="137">
        <v>1</v>
      </c>
      <c r="E33" s="137" t="s">
        <v>434</v>
      </c>
      <c r="F33" s="173">
        <v>86.89</v>
      </c>
      <c r="G33" s="138">
        <f t="shared" si="0"/>
        <v>86.89</v>
      </c>
      <c r="H33" s="124">
        <f t="shared" si="1"/>
        <v>91.23</v>
      </c>
      <c r="I33" s="137">
        <v>3290379190</v>
      </c>
      <c r="J33" s="123"/>
      <c r="N33" s="120"/>
      <c r="O33" s="60"/>
    </row>
    <row r="34" spans="1:15" x14ac:dyDescent="0.25">
      <c r="A34" s="134" t="s">
        <v>231</v>
      </c>
      <c r="B34" s="144" t="s">
        <v>435</v>
      </c>
      <c r="C34" s="141">
        <v>100</v>
      </c>
      <c r="D34" s="137">
        <v>1</v>
      </c>
      <c r="E34" s="137">
        <v>100</v>
      </c>
      <c r="F34" s="173">
        <v>198.31</v>
      </c>
      <c r="G34" s="138">
        <f t="shared" si="0"/>
        <v>198.31</v>
      </c>
      <c r="H34" s="124">
        <f t="shared" si="1"/>
        <v>208.23</v>
      </c>
      <c r="I34" s="137">
        <v>3203093190</v>
      </c>
      <c r="J34" s="123"/>
      <c r="N34" s="120"/>
      <c r="O34" s="60"/>
    </row>
    <row r="35" spans="1:15" x14ac:dyDescent="0.25">
      <c r="A35" s="134" t="s">
        <v>232</v>
      </c>
      <c r="B35" s="121" t="s">
        <v>436</v>
      </c>
      <c r="C35" s="139"/>
      <c r="D35" s="137">
        <v>1</v>
      </c>
      <c r="E35" s="137" t="s">
        <v>309</v>
      </c>
      <c r="F35" s="173">
        <v>35.520000000000003</v>
      </c>
      <c r="G35" s="138">
        <f t="shared" si="0"/>
        <v>35.520000000000003</v>
      </c>
      <c r="H35" s="124">
        <f t="shared" si="1"/>
        <v>37.299999999999997</v>
      </c>
      <c r="I35" s="137">
        <v>3277356190</v>
      </c>
      <c r="J35" s="123"/>
      <c r="N35" s="120"/>
      <c r="O35" s="60"/>
    </row>
    <row r="36" spans="1:15" x14ac:dyDescent="0.25">
      <c r="A36" s="134" t="s">
        <v>233</v>
      </c>
      <c r="B36" s="121" t="s">
        <v>412</v>
      </c>
      <c r="C36" s="139"/>
      <c r="D36" s="139">
        <v>1</v>
      </c>
      <c r="E36" s="137" t="s">
        <v>413</v>
      </c>
      <c r="F36" s="172">
        <v>37.36</v>
      </c>
      <c r="G36" s="138">
        <f t="shared" si="0"/>
        <v>37.36</v>
      </c>
      <c r="H36" s="124">
        <f t="shared" si="1"/>
        <v>39.229999999999997</v>
      </c>
      <c r="I36" s="137">
        <v>11731416922</v>
      </c>
      <c r="J36" s="123"/>
      <c r="N36" s="120"/>
      <c r="O36" s="60"/>
    </row>
    <row r="37" spans="1:15" x14ac:dyDescent="0.25">
      <c r="A37" s="134" t="s">
        <v>235</v>
      </c>
      <c r="B37" s="144" t="s">
        <v>437</v>
      </c>
      <c r="C37" s="141">
        <v>100</v>
      </c>
      <c r="D37" s="137">
        <v>1</v>
      </c>
      <c r="E37" s="137">
        <v>100</v>
      </c>
      <c r="F37" s="173">
        <v>171</v>
      </c>
      <c r="G37" s="138">
        <f t="shared" si="0"/>
        <v>171</v>
      </c>
      <c r="H37" s="124">
        <f t="shared" si="1"/>
        <v>179.55</v>
      </c>
      <c r="I37" s="137">
        <v>11732234122</v>
      </c>
      <c r="J37" s="123"/>
      <c r="N37" s="120"/>
      <c r="O37" s="60"/>
    </row>
    <row r="38" spans="1:15" x14ac:dyDescent="0.25">
      <c r="A38" s="134" t="s">
        <v>236</v>
      </c>
      <c r="B38" s="121" t="s">
        <v>438</v>
      </c>
      <c r="C38" s="139"/>
      <c r="D38" s="137">
        <v>1</v>
      </c>
      <c r="E38" s="137" t="s">
        <v>309</v>
      </c>
      <c r="F38" s="173">
        <v>40.42</v>
      </c>
      <c r="G38" s="138">
        <f t="shared" si="0"/>
        <v>40.42</v>
      </c>
      <c r="H38" s="124">
        <f t="shared" si="1"/>
        <v>42.44</v>
      </c>
      <c r="I38" s="137">
        <v>3561097190</v>
      </c>
      <c r="J38" s="123"/>
      <c r="N38" s="120"/>
      <c r="O38" s="60"/>
    </row>
    <row r="39" spans="1:15" x14ac:dyDescent="0.25">
      <c r="A39" s="134" t="s">
        <v>237</v>
      </c>
      <c r="B39" s="121" t="s">
        <v>412</v>
      </c>
      <c r="C39" s="139"/>
      <c r="D39" s="137">
        <v>1</v>
      </c>
      <c r="E39" s="137" t="s">
        <v>413</v>
      </c>
      <c r="F39" s="172">
        <v>37.36</v>
      </c>
      <c r="G39" s="138">
        <f t="shared" si="0"/>
        <v>37.36</v>
      </c>
      <c r="H39" s="124">
        <f t="shared" si="1"/>
        <v>39.229999999999997</v>
      </c>
      <c r="I39" s="137">
        <v>11731416922</v>
      </c>
      <c r="J39" s="123"/>
      <c r="N39" s="120"/>
      <c r="O39" s="60"/>
    </row>
    <row r="40" spans="1:15" x14ac:dyDescent="0.25">
      <c r="A40" s="134" t="s">
        <v>239</v>
      </c>
      <c r="B40" s="144" t="s">
        <v>439</v>
      </c>
      <c r="C40" s="141">
        <v>100</v>
      </c>
      <c r="D40" s="137">
        <v>1</v>
      </c>
      <c r="E40" s="137">
        <v>100</v>
      </c>
      <c r="F40" s="173">
        <v>144.81</v>
      </c>
      <c r="G40" s="138">
        <f t="shared" si="0"/>
        <v>144.81</v>
      </c>
      <c r="H40" s="124">
        <f t="shared" si="1"/>
        <v>152.05000000000001</v>
      </c>
      <c r="I40" s="137">
        <v>6656021190</v>
      </c>
      <c r="J40" s="123"/>
      <c r="N40" s="120"/>
      <c r="O40" s="60"/>
    </row>
    <row r="41" spans="1:15" x14ac:dyDescent="0.25">
      <c r="A41" s="134" t="s">
        <v>240</v>
      </c>
      <c r="B41" s="121" t="s">
        <v>440</v>
      </c>
      <c r="C41" s="139"/>
      <c r="D41" s="137">
        <v>1</v>
      </c>
      <c r="E41" s="137" t="s">
        <v>309</v>
      </c>
      <c r="F41" s="173">
        <v>39.1</v>
      </c>
      <c r="G41" s="138">
        <f t="shared" si="0"/>
        <v>39.1</v>
      </c>
      <c r="H41" s="124">
        <f t="shared" si="1"/>
        <v>41.06</v>
      </c>
      <c r="I41" s="137">
        <v>6656048190</v>
      </c>
      <c r="J41" s="123"/>
      <c r="N41" s="120"/>
      <c r="O41" s="60"/>
    </row>
    <row r="42" spans="1:15" x14ac:dyDescent="0.25">
      <c r="A42" s="134" t="s">
        <v>241</v>
      </c>
      <c r="B42" s="121" t="s">
        <v>412</v>
      </c>
      <c r="C42" s="139"/>
      <c r="D42" s="137"/>
      <c r="E42" s="137" t="s">
        <v>413</v>
      </c>
      <c r="F42" s="172"/>
      <c r="G42" s="138"/>
      <c r="H42" s="124"/>
      <c r="I42" s="137">
        <v>11731416922</v>
      </c>
      <c r="J42" s="123"/>
      <c r="N42" s="120"/>
      <c r="O42" s="60"/>
    </row>
    <row r="43" spans="1:15" x14ac:dyDescent="0.25">
      <c r="A43" s="134" t="s">
        <v>243</v>
      </c>
      <c r="B43" s="135" t="s">
        <v>441</v>
      </c>
      <c r="C43" s="141">
        <v>330</v>
      </c>
      <c r="D43" s="137">
        <v>4</v>
      </c>
      <c r="E43" s="137">
        <v>100</v>
      </c>
      <c r="F43" s="173">
        <v>369.59</v>
      </c>
      <c r="G43" s="138">
        <f t="shared" si="0"/>
        <v>1478.36</v>
      </c>
      <c r="H43" s="124">
        <f t="shared" si="1"/>
        <v>1552.28</v>
      </c>
      <c r="I43" s="137">
        <v>5894913190</v>
      </c>
      <c r="J43" s="123"/>
      <c r="N43" s="120"/>
      <c r="O43" s="60"/>
    </row>
    <row r="44" spans="1:15" x14ac:dyDescent="0.25">
      <c r="A44" s="134" t="s">
        <v>244</v>
      </c>
      <c r="B44" s="121" t="s">
        <v>442</v>
      </c>
      <c r="C44" s="139"/>
      <c r="D44" s="137">
        <v>2</v>
      </c>
      <c r="E44" s="137" t="s">
        <v>309</v>
      </c>
      <c r="F44" s="173">
        <v>231.7</v>
      </c>
      <c r="G44" s="138">
        <f t="shared" si="0"/>
        <v>463.4</v>
      </c>
      <c r="H44" s="124">
        <f t="shared" si="1"/>
        <v>486.57</v>
      </c>
      <c r="I44" s="137">
        <v>5894921190</v>
      </c>
      <c r="J44" s="123"/>
      <c r="N44" s="120"/>
      <c r="O44" s="60"/>
    </row>
    <row r="45" spans="1:15" x14ac:dyDescent="0.25">
      <c r="A45" s="145" t="s">
        <v>245</v>
      </c>
      <c r="B45" s="146" t="s">
        <v>431</v>
      </c>
      <c r="C45" s="139"/>
      <c r="D45" s="137">
        <v>1</v>
      </c>
      <c r="E45" s="137" t="s">
        <v>206</v>
      </c>
      <c r="F45" s="173">
        <v>72.98</v>
      </c>
      <c r="G45" s="124">
        <f t="shared" si="0"/>
        <v>72.98</v>
      </c>
      <c r="H45" s="124">
        <f t="shared" si="1"/>
        <v>76.63</v>
      </c>
      <c r="I45" s="148">
        <v>5618860922</v>
      </c>
      <c r="J45" s="123"/>
      <c r="N45" s="120"/>
      <c r="O45" s="60"/>
    </row>
    <row r="46" spans="1:15" x14ac:dyDescent="0.25">
      <c r="A46" s="134" t="s">
        <v>247</v>
      </c>
      <c r="B46" s="135" t="s">
        <v>443</v>
      </c>
      <c r="C46" s="141">
        <v>100</v>
      </c>
      <c r="D46" s="137">
        <v>1</v>
      </c>
      <c r="E46" s="137">
        <v>100</v>
      </c>
      <c r="F46" s="173">
        <v>247.63</v>
      </c>
      <c r="G46" s="138">
        <f t="shared" si="0"/>
        <v>247.63</v>
      </c>
      <c r="H46" s="124">
        <f t="shared" si="1"/>
        <v>260.01</v>
      </c>
      <c r="I46" s="137">
        <v>6368590190</v>
      </c>
      <c r="J46" s="123"/>
      <c r="N46" s="120"/>
      <c r="O46" s="60"/>
    </row>
    <row r="47" spans="1:15" x14ac:dyDescent="0.25">
      <c r="A47" s="134" t="s">
        <v>249</v>
      </c>
      <c r="B47" s="121" t="s">
        <v>444</v>
      </c>
      <c r="C47" s="139"/>
      <c r="D47" s="137">
        <v>1</v>
      </c>
      <c r="E47" s="137" t="s">
        <v>445</v>
      </c>
      <c r="F47" s="173">
        <v>43.44</v>
      </c>
      <c r="G47" s="138">
        <f t="shared" si="0"/>
        <v>43.44</v>
      </c>
      <c r="H47" s="124">
        <f t="shared" si="1"/>
        <v>45.61</v>
      </c>
      <c r="I47" s="137">
        <v>6472931190</v>
      </c>
      <c r="J47" s="123"/>
      <c r="N47" s="120"/>
      <c r="O47" s="60"/>
    </row>
    <row r="48" spans="1:15" x14ac:dyDescent="0.25">
      <c r="A48" s="134" t="s">
        <v>250</v>
      </c>
      <c r="B48" s="121" t="s">
        <v>446</v>
      </c>
      <c r="C48" s="139"/>
      <c r="D48" s="137">
        <v>1</v>
      </c>
      <c r="E48" s="137" t="s">
        <v>447</v>
      </c>
      <c r="F48" s="173">
        <v>144.81</v>
      </c>
      <c r="G48" s="138">
        <f t="shared" si="0"/>
        <v>144.81</v>
      </c>
      <c r="H48" s="124">
        <f t="shared" si="1"/>
        <v>152.05000000000001</v>
      </c>
      <c r="I48" s="137">
        <v>5042666191</v>
      </c>
      <c r="J48" s="123"/>
      <c r="N48" s="120"/>
      <c r="O48" s="60"/>
    </row>
    <row r="49" spans="1:15" x14ac:dyDescent="0.25">
      <c r="A49" s="134" t="s">
        <v>252</v>
      </c>
      <c r="B49" s="144" t="s">
        <v>448</v>
      </c>
      <c r="C49" s="141">
        <v>400</v>
      </c>
      <c r="D49" s="137">
        <v>4</v>
      </c>
      <c r="E49" s="137">
        <v>100</v>
      </c>
      <c r="F49" s="173">
        <v>95.58</v>
      </c>
      <c r="G49" s="138">
        <f t="shared" si="0"/>
        <v>382.32</v>
      </c>
      <c r="H49" s="124">
        <f t="shared" si="1"/>
        <v>401.44</v>
      </c>
      <c r="I49" s="137">
        <v>4687787190</v>
      </c>
      <c r="J49" s="123"/>
      <c r="N49" s="120"/>
      <c r="O49" s="60"/>
    </row>
    <row r="50" spans="1:15" x14ac:dyDescent="0.25">
      <c r="A50" s="134" t="s">
        <v>253</v>
      </c>
      <c r="B50" s="121" t="s">
        <v>449</v>
      </c>
      <c r="C50" s="139"/>
      <c r="D50" s="137">
        <v>2</v>
      </c>
      <c r="E50" s="137" t="s">
        <v>434</v>
      </c>
      <c r="F50" s="173">
        <v>73.849999999999994</v>
      </c>
      <c r="G50" s="138">
        <f t="shared" si="0"/>
        <v>147.69999999999999</v>
      </c>
      <c r="H50" s="124">
        <f t="shared" si="1"/>
        <v>155.09</v>
      </c>
      <c r="I50" s="137">
        <v>4687876190</v>
      </c>
      <c r="J50" s="123"/>
      <c r="N50" s="120"/>
      <c r="O50" s="60"/>
    </row>
    <row r="51" spans="1:15" x14ac:dyDescent="0.25">
      <c r="A51" s="134" t="s">
        <v>256</v>
      </c>
      <c r="B51" s="135" t="s">
        <v>450</v>
      </c>
      <c r="C51" s="141">
        <v>800</v>
      </c>
      <c r="D51" s="137">
        <v>8</v>
      </c>
      <c r="E51" s="137">
        <v>100</v>
      </c>
      <c r="F51" s="173">
        <v>147.52000000000001</v>
      </c>
      <c r="G51" s="138">
        <f t="shared" si="0"/>
        <v>1180.1600000000001</v>
      </c>
      <c r="H51" s="124">
        <f t="shared" si="1"/>
        <v>1239.17</v>
      </c>
      <c r="I51" s="137">
        <v>4827031190</v>
      </c>
      <c r="J51" s="123"/>
      <c r="N51" s="120"/>
      <c r="O51" s="60"/>
    </row>
    <row r="52" spans="1:15" x14ac:dyDescent="0.25">
      <c r="A52" s="134" t="s">
        <v>258</v>
      </c>
      <c r="B52" s="121" t="s">
        <v>451</v>
      </c>
      <c r="C52" s="139"/>
      <c r="D52" s="137">
        <v>2</v>
      </c>
      <c r="E52" s="137" t="s">
        <v>309</v>
      </c>
      <c r="F52" s="173">
        <v>50.97</v>
      </c>
      <c r="G52" s="138">
        <f t="shared" si="0"/>
        <v>101.94</v>
      </c>
      <c r="H52" s="124">
        <f t="shared" si="1"/>
        <v>107.04</v>
      </c>
      <c r="I52" s="137">
        <v>11930427122</v>
      </c>
      <c r="J52" s="123"/>
      <c r="N52" s="120"/>
      <c r="O52" s="60"/>
    </row>
    <row r="53" spans="1:15" x14ac:dyDescent="0.25">
      <c r="A53" s="134" t="s">
        <v>259</v>
      </c>
      <c r="B53" s="121" t="s">
        <v>412</v>
      </c>
      <c r="C53" s="139"/>
      <c r="D53" s="137"/>
      <c r="E53" s="137" t="s">
        <v>413</v>
      </c>
      <c r="F53" s="172"/>
      <c r="G53" s="138"/>
      <c r="H53" s="124"/>
      <c r="I53" s="137">
        <v>11731416922</v>
      </c>
      <c r="J53" s="123"/>
      <c r="N53" s="120"/>
      <c r="O53" s="60"/>
    </row>
    <row r="54" spans="1:15" ht="30" customHeight="1" x14ac:dyDescent="0.25">
      <c r="A54" s="134" t="s">
        <v>261</v>
      </c>
      <c r="B54" s="140" t="s">
        <v>452</v>
      </c>
      <c r="C54" s="136">
        <v>500</v>
      </c>
      <c r="D54" s="137">
        <v>5</v>
      </c>
      <c r="E54" s="137">
        <v>100</v>
      </c>
      <c r="F54" s="173">
        <v>148.29</v>
      </c>
      <c r="G54" s="124">
        <f t="shared" si="0"/>
        <v>741.44999999999993</v>
      </c>
      <c r="H54" s="124">
        <f t="shared" si="1"/>
        <v>778.52</v>
      </c>
      <c r="I54" s="137">
        <v>3300811190</v>
      </c>
      <c r="J54" s="123"/>
      <c r="N54" s="120"/>
      <c r="O54" s="60"/>
    </row>
    <row r="55" spans="1:15" x14ac:dyDescent="0.25">
      <c r="A55" s="134" t="s">
        <v>262</v>
      </c>
      <c r="B55" s="121" t="s">
        <v>453</v>
      </c>
      <c r="C55" s="139"/>
      <c r="D55" s="137">
        <v>2</v>
      </c>
      <c r="E55" s="137" t="s">
        <v>309</v>
      </c>
      <c r="F55" s="173">
        <v>34.75</v>
      </c>
      <c r="G55" s="138">
        <f t="shared" si="0"/>
        <v>69.5</v>
      </c>
      <c r="H55" s="124">
        <f t="shared" si="1"/>
        <v>72.98</v>
      </c>
      <c r="I55" s="137">
        <v>3303071190</v>
      </c>
      <c r="J55" s="123"/>
      <c r="N55" s="120"/>
      <c r="O55" s="60"/>
    </row>
    <row r="56" spans="1:15" x14ac:dyDescent="0.25">
      <c r="A56" s="134" t="s">
        <v>263</v>
      </c>
      <c r="B56" s="121" t="s">
        <v>412</v>
      </c>
      <c r="C56" s="139"/>
      <c r="D56" s="137"/>
      <c r="E56" s="137" t="s">
        <v>413</v>
      </c>
      <c r="F56" s="173"/>
      <c r="G56" s="138"/>
      <c r="H56" s="124"/>
      <c r="I56" s="137">
        <v>11731416922</v>
      </c>
      <c r="J56" s="123"/>
      <c r="N56" s="120"/>
      <c r="O56" s="60"/>
    </row>
    <row r="57" spans="1:15" x14ac:dyDescent="0.25">
      <c r="A57" s="145" t="s">
        <v>454</v>
      </c>
      <c r="B57" s="149" t="s">
        <v>455</v>
      </c>
      <c r="C57" s="136">
        <v>1400</v>
      </c>
      <c r="D57" s="137">
        <v>14</v>
      </c>
      <c r="E57" s="137">
        <v>100</v>
      </c>
      <c r="F57" s="173">
        <v>651.65</v>
      </c>
      <c r="G57" s="138">
        <f t="shared" si="0"/>
        <v>9123.1</v>
      </c>
      <c r="H57" s="124">
        <f t="shared" si="1"/>
        <v>9579.26</v>
      </c>
      <c r="I57" s="150">
        <v>5056888200</v>
      </c>
      <c r="J57" s="123"/>
      <c r="N57" s="120"/>
      <c r="O57" s="60"/>
    </row>
    <row r="58" spans="1:15" x14ac:dyDescent="0.25">
      <c r="A58" s="134" t="s">
        <v>268</v>
      </c>
      <c r="B58" s="144" t="s">
        <v>456</v>
      </c>
      <c r="C58" s="141">
        <v>200</v>
      </c>
      <c r="D58" s="137">
        <v>2</v>
      </c>
      <c r="E58" s="137">
        <v>100</v>
      </c>
      <c r="F58" s="173">
        <v>245.31</v>
      </c>
      <c r="G58" s="138">
        <f t="shared" si="0"/>
        <v>490.62</v>
      </c>
      <c r="H58" s="124">
        <f t="shared" si="1"/>
        <v>515.15</v>
      </c>
      <c r="I58" s="137">
        <v>11776223190</v>
      </c>
      <c r="J58" s="123"/>
      <c r="N58" s="120"/>
      <c r="O58" s="60"/>
    </row>
    <row r="59" spans="1:15" x14ac:dyDescent="0.25">
      <c r="A59" s="134" t="s">
        <v>269</v>
      </c>
      <c r="B59" s="121" t="s">
        <v>457</v>
      </c>
      <c r="C59" s="139"/>
      <c r="D59" s="137">
        <v>1</v>
      </c>
      <c r="E59" s="137" t="s">
        <v>309</v>
      </c>
      <c r="F59" s="173">
        <v>40.549999999999997</v>
      </c>
      <c r="G59" s="138">
        <f t="shared" si="0"/>
        <v>40.549999999999997</v>
      </c>
      <c r="H59" s="124">
        <f t="shared" si="1"/>
        <v>42.58</v>
      </c>
      <c r="I59" s="137">
        <v>7030207190</v>
      </c>
      <c r="J59" s="123"/>
      <c r="N59" s="120"/>
      <c r="O59" s="60"/>
    </row>
    <row r="60" spans="1:15" x14ac:dyDescent="0.25">
      <c r="A60" s="134" t="s">
        <v>270</v>
      </c>
      <c r="B60" s="121" t="s">
        <v>424</v>
      </c>
      <c r="C60" s="139"/>
      <c r="D60" s="137"/>
      <c r="E60" s="137" t="s">
        <v>206</v>
      </c>
      <c r="F60" s="173"/>
      <c r="G60" s="138"/>
      <c r="H60" s="124"/>
      <c r="I60" s="137">
        <v>11776452922</v>
      </c>
      <c r="J60" s="123"/>
      <c r="N60" s="120"/>
      <c r="O60" s="60"/>
    </row>
    <row r="61" spans="1:15" x14ac:dyDescent="0.25">
      <c r="A61" s="134" t="s">
        <v>272</v>
      </c>
      <c r="B61" s="135" t="s">
        <v>458</v>
      </c>
      <c r="C61" s="141">
        <v>200</v>
      </c>
      <c r="D61" s="137">
        <v>2</v>
      </c>
      <c r="E61" s="137">
        <v>100</v>
      </c>
      <c r="F61" s="173">
        <v>912.3</v>
      </c>
      <c r="G61" s="138">
        <f t="shared" si="0"/>
        <v>1824.6</v>
      </c>
      <c r="H61" s="124">
        <f t="shared" si="1"/>
        <v>1915.83</v>
      </c>
      <c r="I61" s="137">
        <v>5950929190</v>
      </c>
      <c r="J61" s="123"/>
      <c r="N61" s="120"/>
      <c r="O61" s="60"/>
    </row>
    <row r="62" spans="1:15" x14ac:dyDescent="0.25">
      <c r="A62" s="134" t="s">
        <v>273</v>
      </c>
      <c r="B62" s="121" t="s">
        <v>459</v>
      </c>
      <c r="C62" s="139"/>
      <c r="D62" s="137">
        <v>1</v>
      </c>
      <c r="E62" s="137" t="s">
        <v>309</v>
      </c>
      <c r="F62" s="173">
        <v>246.97</v>
      </c>
      <c r="G62" s="138">
        <f t="shared" si="0"/>
        <v>246.97</v>
      </c>
      <c r="H62" s="124">
        <f t="shared" si="1"/>
        <v>259.32</v>
      </c>
      <c r="I62" s="137">
        <v>5950945190</v>
      </c>
      <c r="J62" s="123"/>
      <c r="N62" s="120"/>
      <c r="O62" s="60"/>
    </row>
    <row r="63" spans="1:15" x14ac:dyDescent="0.25">
      <c r="A63" s="134" t="s">
        <v>276</v>
      </c>
      <c r="B63" s="121" t="s">
        <v>460</v>
      </c>
      <c r="C63" s="139"/>
      <c r="D63" s="137">
        <v>1</v>
      </c>
      <c r="E63" s="137" t="s">
        <v>309</v>
      </c>
      <c r="F63" s="173">
        <v>144.81</v>
      </c>
      <c r="G63" s="138">
        <f t="shared" si="0"/>
        <v>144.81</v>
      </c>
      <c r="H63" s="124">
        <f t="shared" si="1"/>
        <v>152.05000000000001</v>
      </c>
      <c r="I63" s="137">
        <v>5950953190</v>
      </c>
      <c r="J63" s="123"/>
      <c r="N63" s="120"/>
      <c r="O63" s="60"/>
    </row>
    <row r="64" spans="1:15" ht="29.25" customHeight="1" x14ac:dyDescent="0.25">
      <c r="A64" s="134" t="s">
        <v>278</v>
      </c>
      <c r="B64" s="143" t="s">
        <v>461</v>
      </c>
      <c r="C64" s="136">
        <v>600</v>
      </c>
      <c r="D64" s="137">
        <v>6</v>
      </c>
      <c r="E64" s="137">
        <v>100</v>
      </c>
      <c r="F64" s="173">
        <v>104.27</v>
      </c>
      <c r="G64" s="124">
        <f t="shared" si="0"/>
        <v>625.62</v>
      </c>
      <c r="H64" s="124">
        <f t="shared" si="1"/>
        <v>656.9</v>
      </c>
      <c r="I64" s="137">
        <v>5957648190</v>
      </c>
      <c r="J64" s="123"/>
      <c r="N64" s="120"/>
      <c r="O64" s="60"/>
    </row>
    <row r="65" spans="1:15" x14ac:dyDescent="0.25">
      <c r="A65" s="134" t="s">
        <v>279</v>
      </c>
      <c r="B65" s="121" t="s">
        <v>462</v>
      </c>
      <c r="C65" s="139"/>
      <c r="D65" s="137">
        <v>2</v>
      </c>
      <c r="E65" s="137" t="s">
        <v>309</v>
      </c>
      <c r="F65" s="173">
        <v>45.18</v>
      </c>
      <c r="G65" s="138">
        <f t="shared" si="0"/>
        <v>90.36</v>
      </c>
      <c r="H65" s="124">
        <f t="shared" si="1"/>
        <v>94.88</v>
      </c>
      <c r="I65" s="137">
        <v>5957656190</v>
      </c>
      <c r="J65" s="123"/>
      <c r="N65" s="120"/>
      <c r="O65" s="60"/>
    </row>
    <row r="66" spans="1:15" x14ac:dyDescent="0.25">
      <c r="A66" s="134" t="s">
        <v>280</v>
      </c>
      <c r="B66" s="121" t="s">
        <v>463</v>
      </c>
      <c r="C66" s="139"/>
      <c r="D66" s="137">
        <v>2</v>
      </c>
      <c r="E66" s="137" t="s">
        <v>428</v>
      </c>
      <c r="F66" s="173">
        <v>63.72</v>
      </c>
      <c r="G66" s="138">
        <f t="shared" si="0"/>
        <v>127.44</v>
      </c>
      <c r="H66" s="124">
        <f t="shared" si="1"/>
        <v>133.81</v>
      </c>
      <c r="I66" s="137">
        <v>4917049922</v>
      </c>
      <c r="J66" s="123"/>
      <c r="N66" s="120"/>
      <c r="O66" s="60"/>
    </row>
    <row r="67" spans="1:15" x14ac:dyDescent="0.25">
      <c r="A67" s="134" t="s">
        <v>282</v>
      </c>
      <c r="B67" s="151" t="s">
        <v>464</v>
      </c>
      <c r="C67" s="136">
        <v>300</v>
      </c>
      <c r="D67" s="137">
        <v>3</v>
      </c>
      <c r="E67" s="137">
        <v>100</v>
      </c>
      <c r="F67" s="173">
        <v>781.97</v>
      </c>
      <c r="G67" s="124">
        <f t="shared" si="0"/>
        <v>2345.91</v>
      </c>
      <c r="H67" s="124">
        <f t="shared" si="1"/>
        <v>2463.21</v>
      </c>
      <c r="I67" s="137">
        <v>4842464190</v>
      </c>
      <c r="J67" s="123"/>
      <c r="N67" s="120"/>
      <c r="O67" s="60"/>
    </row>
    <row r="68" spans="1:15" x14ac:dyDescent="0.25">
      <c r="A68" s="134" t="s">
        <v>465</v>
      </c>
      <c r="B68" s="121" t="s">
        <v>466</v>
      </c>
      <c r="C68" s="139"/>
      <c r="D68" s="137">
        <v>2</v>
      </c>
      <c r="E68" s="137" t="s">
        <v>309</v>
      </c>
      <c r="F68" s="173">
        <v>66.61</v>
      </c>
      <c r="G68" s="138">
        <f t="shared" si="0"/>
        <v>133.22</v>
      </c>
      <c r="H68" s="124">
        <f t="shared" si="1"/>
        <v>139.88</v>
      </c>
      <c r="I68" s="137">
        <v>4842472190</v>
      </c>
      <c r="J68" s="123"/>
      <c r="N68" s="120"/>
      <c r="O68" s="60"/>
    </row>
    <row r="69" spans="1:15" x14ac:dyDescent="0.25">
      <c r="A69" s="134" t="s">
        <v>467</v>
      </c>
      <c r="B69" s="121" t="s">
        <v>463</v>
      </c>
      <c r="C69" s="139"/>
      <c r="D69" s="137">
        <v>1</v>
      </c>
      <c r="E69" s="137" t="s">
        <v>428</v>
      </c>
      <c r="F69" s="173">
        <v>63.72</v>
      </c>
      <c r="G69" s="138">
        <f t="shared" si="0"/>
        <v>63.72</v>
      </c>
      <c r="H69" s="124">
        <f t="shared" si="1"/>
        <v>66.91</v>
      </c>
      <c r="I69" s="137">
        <v>4917049922</v>
      </c>
      <c r="J69" s="123"/>
      <c r="N69" s="120"/>
      <c r="O69" s="60"/>
    </row>
    <row r="70" spans="1:15" x14ac:dyDescent="0.25">
      <c r="A70" s="134" t="s">
        <v>284</v>
      </c>
      <c r="B70" s="135" t="s">
        <v>468</v>
      </c>
      <c r="C70" s="141">
        <v>100</v>
      </c>
      <c r="D70" s="137">
        <v>1</v>
      </c>
      <c r="E70" s="137">
        <v>100</v>
      </c>
      <c r="F70" s="173">
        <v>203.6</v>
      </c>
      <c r="G70" s="138">
        <f t="shared" si="0"/>
        <v>203.6</v>
      </c>
      <c r="H70" s="124">
        <f t="shared" si="1"/>
        <v>213.78</v>
      </c>
      <c r="I70" s="137">
        <v>3184897190</v>
      </c>
      <c r="J70" s="123"/>
      <c r="N70" s="120"/>
      <c r="O70" s="60"/>
    </row>
    <row r="71" spans="1:15" x14ac:dyDescent="0.25">
      <c r="A71" s="134" t="s">
        <v>469</v>
      </c>
      <c r="B71" s="121" t="s">
        <v>470</v>
      </c>
      <c r="C71" s="139"/>
      <c r="D71" s="137">
        <v>1</v>
      </c>
      <c r="E71" s="137" t="s">
        <v>309</v>
      </c>
      <c r="F71" s="173">
        <v>62.58</v>
      </c>
      <c r="G71" s="138">
        <f t="shared" si="0"/>
        <v>62.58</v>
      </c>
      <c r="H71" s="124">
        <f t="shared" si="1"/>
        <v>65.709999999999994</v>
      </c>
      <c r="I71" s="137">
        <v>3184919190</v>
      </c>
      <c r="J71" s="123"/>
      <c r="N71" s="120"/>
      <c r="O71" s="60"/>
    </row>
    <row r="72" spans="1:15" x14ac:dyDescent="0.25">
      <c r="A72" s="134" t="s">
        <v>471</v>
      </c>
      <c r="B72" s="121" t="s">
        <v>472</v>
      </c>
      <c r="C72" s="139"/>
      <c r="D72" s="122">
        <v>1</v>
      </c>
      <c r="E72" s="137" t="s">
        <v>421</v>
      </c>
      <c r="F72" s="173">
        <v>95.57</v>
      </c>
      <c r="G72" s="138">
        <f t="shared" si="0"/>
        <v>95.57</v>
      </c>
      <c r="H72" s="124">
        <f t="shared" si="1"/>
        <v>100.35</v>
      </c>
      <c r="I72" s="137">
        <v>5341787190</v>
      </c>
      <c r="J72" s="123"/>
      <c r="N72" s="120"/>
      <c r="O72" s="60"/>
    </row>
    <row r="73" spans="1:15" ht="15" customHeight="1" x14ac:dyDescent="0.25">
      <c r="A73" s="134" t="s">
        <v>285</v>
      </c>
      <c r="B73" s="140" t="s">
        <v>473</v>
      </c>
      <c r="C73" s="141">
        <v>200</v>
      </c>
      <c r="D73" s="137">
        <v>2</v>
      </c>
      <c r="E73" s="137">
        <v>100</v>
      </c>
      <c r="F73" s="173">
        <v>463.39</v>
      </c>
      <c r="G73" s="138">
        <f t="shared" si="0"/>
        <v>926.78</v>
      </c>
      <c r="H73" s="124">
        <f t="shared" si="1"/>
        <v>973.12</v>
      </c>
      <c r="I73" s="137">
        <v>4854098200</v>
      </c>
      <c r="J73" s="123"/>
      <c r="N73" s="120"/>
      <c r="O73" s="60"/>
    </row>
    <row r="74" spans="1:15" x14ac:dyDescent="0.25">
      <c r="A74" s="134" t="s">
        <v>474</v>
      </c>
      <c r="B74" s="121" t="s">
        <v>475</v>
      </c>
      <c r="C74" s="139"/>
      <c r="D74" s="137">
        <v>1</v>
      </c>
      <c r="E74" s="137" t="s">
        <v>309</v>
      </c>
      <c r="F74" s="173">
        <v>231.7</v>
      </c>
      <c r="G74" s="138">
        <f t="shared" si="0"/>
        <v>231.7</v>
      </c>
      <c r="H74" s="124">
        <f t="shared" si="1"/>
        <v>243.29</v>
      </c>
      <c r="I74" s="137">
        <v>4854101200</v>
      </c>
      <c r="J74" s="123"/>
      <c r="N74" s="120"/>
      <c r="O74" s="60"/>
    </row>
    <row r="75" spans="1:15" x14ac:dyDescent="0.25">
      <c r="A75" s="134" t="s">
        <v>476</v>
      </c>
      <c r="B75" s="121" t="s">
        <v>477</v>
      </c>
      <c r="C75" s="139"/>
      <c r="D75" s="137">
        <v>1</v>
      </c>
      <c r="E75" s="137" t="s">
        <v>421</v>
      </c>
      <c r="F75" s="173">
        <v>260.66000000000003</v>
      </c>
      <c r="G75" s="138">
        <f t="shared" si="0"/>
        <v>260.66000000000003</v>
      </c>
      <c r="H75" s="124">
        <f t="shared" si="1"/>
        <v>273.69</v>
      </c>
      <c r="I75" s="137">
        <v>4899881200</v>
      </c>
      <c r="J75" s="123"/>
      <c r="N75" s="120"/>
      <c r="O75" s="60"/>
    </row>
    <row r="76" spans="1:15" ht="25.5" x14ac:dyDescent="0.25">
      <c r="A76" s="134" t="s">
        <v>286</v>
      </c>
      <c r="B76" s="151" t="s">
        <v>478</v>
      </c>
      <c r="C76" s="136">
        <v>200</v>
      </c>
      <c r="D76" s="137">
        <v>2</v>
      </c>
      <c r="E76" s="137">
        <v>100</v>
      </c>
      <c r="F76" s="173">
        <v>463.39</v>
      </c>
      <c r="G76" s="124">
        <f t="shared" si="0"/>
        <v>926.78</v>
      </c>
      <c r="H76" s="124">
        <f t="shared" si="1"/>
        <v>973.12</v>
      </c>
      <c r="I76" s="137">
        <v>4854071200</v>
      </c>
      <c r="J76" s="123"/>
      <c r="N76" s="120"/>
      <c r="O76" s="60"/>
    </row>
    <row r="77" spans="1:15" x14ac:dyDescent="0.25">
      <c r="A77" s="134" t="s">
        <v>287</v>
      </c>
      <c r="B77" s="121" t="s">
        <v>479</v>
      </c>
      <c r="C77" s="139"/>
      <c r="D77" s="137">
        <v>1</v>
      </c>
      <c r="E77" s="137" t="s">
        <v>309</v>
      </c>
      <c r="F77" s="174">
        <v>101.37</v>
      </c>
      <c r="G77" s="138">
        <f t="shared" ref="G77:G105" si="2">F77*D77</f>
        <v>101.37</v>
      </c>
      <c r="H77" s="124">
        <f t="shared" ref="H77:H105" si="3">ROUND(G77*1.05,2)</f>
        <v>106.44</v>
      </c>
      <c r="I77" s="137">
        <v>4854080200</v>
      </c>
      <c r="J77" s="123"/>
      <c r="N77" s="120"/>
      <c r="O77" s="60"/>
    </row>
    <row r="78" spans="1:15" x14ac:dyDescent="0.25">
      <c r="A78" s="134" t="s">
        <v>288</v>
      </c>
      <c r="B78" s="121" t="s">
        <v>477</v>
      </c>
      <c r="C78" s="139"/>
      <c r="D78" s="137"/>
      <c r="E78" s="137" t="s">
        <v>421</v>
      </c>
      <c r="F78" s="173"/>
      <c r="G78" s="138"/>
      <c r="H78" s="124"/>
      <c r="I78" s="137">
        <v>4899881200</v>
      </c>
      <c r="J78" s="123"/>
      <c r="N78" s="120"/>
      <c r="O78" s="60"/>
    </row>
    <row r="79" spans="1:15" ht="25.5" x14ac:dyDescent="0.25">
      <c r="A79" s="134" t="s">
        <v>289</v>
      </c>
      <c r="B79" s="140" t="s">
        <v>480</v>
      </c>
      <c r="C79" s="136">
        <v>200</v>
      </c>
      <c r="D79" s="137">
        <v>2</v>
      </c>
      <c r="E79" s="137">
        <v>100</v>
      </c>
      <c r="F79" s="173">
        <v>151.19</v>
      </c>
      <c r="G79" s="124">
        <f t="shared" si="2"/>
        <v>302.38</v>
      </c>
      <c r="H79" s="124">
        <f t="shared" si="3"/>
        <v>317.5</v>
      </c>
      <c r="I79" s="137">
        <v>3271749190</v>
      </c>
      <c r="J79" s="123"/>
      <c r="N79" s="120"/>
      <c r="O79" s="60"/>
    </row>
    <row r="80" spans="1:15" x14ac:dyDescent="0.25">
      <c r="A80" s="134" t="s">
        <v>290</v>
      </c>
      <c r="B80" s="121" t="s">
        <v>481</v>
      </c>
      <c r="C80" s="139"/>
      <c r="D80" s="137">
        <v>1</v>
      </c>
      <c r="E80" s="137" t="s">
        <v>309</v>
      </c>
      <c r="F80" s="173">
        <v>43.94</v>
      </c>
      <c r="G80" s="138">
        <f t="shared" si="2"/>
        <v>43.94</v>
      </c>
      <c r="H80" s="124">
        <f t="shared" si="3"/>
        <v>46.14</v>
      </c>
      <c r="I80" s="137">
        <v>3302652190</v>
      </c>
      <c r="J80" s="123"/>
      <c r="N80" s="120"/>
      <c r="O80" s="60"/>
    </row>
    <row r="81" spans="1:15" x14ac:dyDescent="0.25">
      <c r="A81" s="134" t="s">
        <v>291</v>
      </c>
      <c r="B81" s="121" t="s">
        <v>424</v>
      </c>
      <c r="C81" s="139"/>
      <c r="D81" s="137"/>
      <c r="E81" s="137" t="s">
        <v>206</v>
      </c>
      <c r="F81" s="173"/>
      <c r="G81" s="138"/>
      <c r="H81" s="124"/>
      <c r="I81" s="137">
        <v>11776452922</v>
      </c>
      <c r="J81" s="123"/>
      <c r="N81" s="120"/>
      <c r="O81" s="60"/>
    </row>
    <row r="82" spans="1:15" x14ac:dyDescent="0.25">
      <c r="A82" s="134" t="s">
        <v>293</v>
      </c>
      <c r="B82" s="144" t="s">
        <v>482</v>
      </c>
      <c r="C82" s="141">
        <v>200</v>
      </c>
      <c r="D82" s="137">
        <v>2</v>
      </c>
      <c r="E82" s="137">
        <v>100</v>
      </c>
      <c r="F82" s="173">
        <v>151.33000000000001</v>
      </c>
      <c r="G82" s="138">
        <f t="shared" si="2"/>
        <v>302.66000000000003</v>
      </c>
      <c r="H82" s="124">
        <f t="shared" si="3"/>
        <v>317.79000000000002</v>
      </c>
      <c r="I82" s="137">
        <v>4481798190</v>
      </c>
      <c r="J82" s="123"/>
      <c r="N82" s="120"/>
      <c r="O82" s="60"/>
    </row>
    <row r="83" spans="1:15" x14ac:dyDescent="0.25">
      <c r="A83" s="134" t="s">
        <v>294</v>
      </c>
      <c r="B83" s="121" t="s">
        <v>483</v>
      </c>
      <c r="C83" s="139"/>
      <c r="D83" s="137">
        <v>1</v>
      </c>
      <c r="E83" s="137" t="s">
        <v>309</v>
      </c>
      <c r="F83" s="173">
        <v>44.24</v>
      </c>
      <c r="G83" s="138">
        <f t="shared" si="2"/>
        <v>44.24</v>
      </c>
      <c r="H83" s="124">
        <f t="shared" si="3"/>
        <v>46.45</v>
      </c>
      <c r="I83" s="137">
        <v>4487761190</v>
      </c>
      <c r="J83" s="123"/>
      <c r="N83" s="120"/>
      <c r="O83" s="60"/>
    </row>
    <row r="84" spans="1:15" x14ac:dyDescent="0.25">
      <c r="A84" s="134" t="s">
        <v>295</v>
      </c>
      <c r="B84" s="121" t="s">
        <v>424</v>
      </c>
      <c r="C84" s="139"/>
      <c r="D84" s="137"/>
      <c r="E84" s="137" t="s">
        <v>206</v>
      </c>
      <c r="F84" s="173"/>
      <c r="G84" s="138"/>
      <c r="H84" s="124"/>
      <c r="I84" s="137">
        <v>11776452922</v>
      </c>
      <c r="J84" s="123"/>
      <c r="N84" s="120"/>
      <c r="O84" s="60"/>
    </row>
    <row r="85" spans="1:15" ht="25.5" x14ac:dyDescent="0.25">
      <c r="A85" s="134" t="s">
        <v>297</v>
      </c>
      <c r="B85" s="151" t="s">
        <v>484</v>
      </c>
      <c r="C85" s="136">
        <v>500</v>
      </c>
      <c r="D85" s="137">
        <v>5</v>
      </c>
      <c r="E85" s="137">
        <v>100</v>
      </c>
      <c r="F85" s="173">
        <v>155.1</v>
      </c>
      <c r="G85" s="124">
        <f t="shared" si="2"/>
        <v>775.5</v>
      </c>
      <c r="H85" s="124">
        <f t="shared" si="3"/>
        <v>814.28</v>
      </c>
      <c r="I85" s="137">
        <v>6923364190</v>
      </c>
      <c r="J85" s="123"/>
      <c r="N85" s="120"/>
      <c r="O85" s="60"/>
    </row>
    <row r="86" spans="1:15" x14ac:dyDescent="0.25">
      <c r="A86" s="134" t="s">
        <v>299</v>
      </c>
      <c r="B86" s="121" t="s">
        <v>485</v>
      </c>
      <c r="C86" s="139"/>
      <c r="D86" s="137">
        <v>2</v>
      </c>
      <c r="E86" s="137" t="s">
        <v>428</v>
      </c>
      <c r="F86" s="173">
        <v>52.13</v>
      </c>
      <c r="G86" s="138">
        <f t="shared" si="2"/>
        <v>104.26</v>
      </c>
      <c r="H86" s="124">
        <f t="shared" si="3"/>
        <v>109.47</v>
      </c>
      <c r="I86" s="137">
        <v>6923364190</v>
      </c>
      <c r="J86" s="123"/>
      <c r="N86" s="120"/>
      <c r="O86" s="60"/>
    </row>
    <row r="87" spans="1:15" x14ac:dyDescent="0.25">
      <c r="A87" s="134" t="s">
        <v>302</v>
      </c>
      <c r="B87" s="151" t="s">
        <v>486</v>
      </c>
      <c r="C87" s="136">
        <v>1300</v>
      </c>
      <c r="D87" s="137">
        <v>13</v>
      </c>
      <c r="E87" s="137">
        <v>100</v>
      </c>
      <c r="F87" s="173">
        <v>129</v>
      </c>
      <c r="G87" s="124">
        <f t="shared" si="2"/>
        <v>1677</v>
      </c>
      <c r="H87" s="124">
        <f t="shared" si="3"/>
        <v>1760.85</v>
      </c>
      <c r="I87" s="137">
        <v>4618858190</v>
      </c>
      <c r="J87" s="123"/>
      <c r="N87" s="120"/>
      <c r="O87" s="60"/>
    </row>
    <row r="88" spans="1:15" x14ac:dyDescent="0.25">
      <c r="A88" s="134" t="s">
        <v>304</v>
      </c>
      <c r="B88" s="121" t="s">
        <v>487</v>
      </c>
      <c r="C88" s="139"/>
      <c r="D88" s="137">
        <v>1</v>
      </c>
      <c r="E88" s="137" t="s">
        <v>488</v>
      </c>
      <c r="F88" s="173">
        <v>115.85</v>
      </c>
      <c r="G88" s="138">
        <f t="shared" si="2"/>
        <v>115.85</v>
      </c>
      <c r="H88" s="124">
        <f t="shared" si="3"/>
        <v>121.64</v>
      </c>
      <c r="I88" s="137">
        <v>4618866190</v>
      </c>
      <c r="J88" s="123"/>
      <c r="N88" s="120"/>
      <c r="O88" s="60"/>
    </row>
    <row r="89" spans="1:15" x14ac:dyDescent="0.25">
      <c r="A89" s="134" t="s">
        <v>314</v>
      </c>
      <c r="B89" s="151" t="s">
        <v>489</v>
      </c>
      <c r="C89" s="136">
        <v>1300</v>
      </c>
      <c r="D89" s="137">
        <v>13</v>
      </c>
      <c r="E89" s="137">
        <v>100</v>
      </c>
      <c r="F89" s="173">
        <v>135.44999999999999</v>
      </c>
      <c r="G89" s="124">
        <f t="shared" si="2"/>
        <v>1760.85</v>
      </c>
      <c r="H89" s="124">
        <f t="shared" si="3"/>
        <v>1848.89</v>
      </c>
      <c r="I89" s="137">
        <v>4618815190</v>
      </c>
      <c r="J89" s="123"/>
      <c r="N89" s="120"/>
      <c r="O89" s="60"/>
    </row>
    <row r="90" spans="1:15" x14ac:dyDescent="0.25">
      <c r="A90" s="134" t="s">
        <v>316</v>
      </c>
      <c r="B90" s="121" t="s">
        <v>490</v>
      </c>
      <c r="C90" s="139"/>
      <c r="D90" s="137">
        <v>1</v>
      </c>
      <c r="E90" s="137" t="s">
        <v>491</v>
      </c>
      <c r="F90" s="173">
        <v>115.85</v>
      </c>
      <c r="G90" s="138">
        <f t="shared" si="2"/>
        <v>115.85</v>
      </c>
      <c r="H90" s="124">
        <f t="shared" si="3"/>
        <v>121.64</v>
      </c>
      <c r="I90" s="137">
        <v>4618823190</v>
      </c>
      <c r="J90" s="123"/>
      <c r="N90" s="120"/>
      <c r="O90" s="60"/>
    </row>
    <row r="91" spans="1:15" x14ac:dyDescent="0.25">
      <c r="A91" s="134" t="s">
        <v>320</v>
      </c>
      <c r="B91" s="135" t="s">
        <v>492</v>
      </c>
      <c r="C91" s="141">
        <v>200</v>
      </c>
      <c r="D91" s="137">
        <v>2</v>
      </c>
      <c r="E91" s="137">
        <v>100</v>
      </c>
      <c r="F91" s="173">
        <v>521.32000000000005</v>
      </c>
      <c r="G91" s="138">
        <f t="shared" si="2"/>
        <v>1042.6400000000001</v>
      </c>
      <c r="H91" s="124">
        <f t="shared" si="3"/>
        <v>1094.77</v>
      </c>
      <c r="I91" s="137">
        <v>5889014190</v>
      </c>
      <c r="J91" s="123"/>
      <c r="N91" s="120"/>
      <c r="O91" s="60"/>
    </row>
    <row r="92" spans="1:15" x14ac:dyDescent="0.25">
      <c r="A92" s="134" t="s">
        <v>321</v>
      </c>
      <c r="B92" s="121" t="s">
        <v>493</v>
      </c>
      <c r="C92" s="139"/>
      <c r="D92" s="137">
        <v>1</v>
      </c>
      <c r="E92" s="137" t="s">
        <v>494</v>
      </c>
      <c r="F92" s="173">
        <v>868.86</v>
      </c>
      <c r="G92" s="138">
        <f t="shared" si="2"/>
        <v>868.86</v>
      </c>
      <c r="H92" s="124">
        <f t="shared" si="3"/>
        <v>912.3</v>
      </c>
      <c r="I92" s="137">
        <v>5889022190</v>
      </c>
      <c r="J92" s="123"/>
      <c r="N92" s="120"/>
      <c r="O92" s="60"/>
    </row>
    <row r="93" spans="1:15" x14ac:dyDescent="0.25">
      <c r="A93" s="134" t="s">
        <v>322</v>
      </c>
      <c r="B93" s="121" t="s">
        <v>495</v>
      </c>
      <c r="C93" s="139"/>
      <c r="D93" s="137">
        <v>2</v>
      </c>
      <c r="E93" s="137" t="s">
        <v>496</v>
      </c>
      <c r="F93" s="173">
        <v>34.75</v>
      </c>
      <c r="G93" s="138">
        <f t="shared" si="2"/>
        <v>69.5</v>
      </c>
      <c r="H93" s="124">
        <f t="shared" si="3"/>
        <v>72.98</v>
      </c>
      <c r="I93" s="137">
        <v>5889073190</v>
      </c>
      <c r="J93" s="123"/>
      <c r="N93" s="120"/>
      <c r="O93" s="60"/>
    </row>
    <row r="94" spans="1:15" x14ac:dyDescent="0.25">
      <c r="A94" s="134" t="s">
        <v>323</v>
      </c>
      <c r="B94" s="121" t="s">
        <v>497</v>
      </c>
      <c r="C94" s="139"/>
      <c r="D94" s="137">
        <v>1</v>
      </c>
      <c r="E94" s="137" t="s">
        <v>498</v>
      </c>
      <c r="F94" s="173">
        <v>503.94</v>
      </c>
      <c r="G94" s="138">
        <f t="shared" si="2"/>
        <v>503.94</v>
      </c>
      <c r="H94" s="124">
        <f t="shared" si="3"/>
        <v>529.14</v>
      </c>
      <c r="I94" s="137">
        <v>5889081190</v>
      </c>
      <c r="J94" s="123"/>
      <c r="N94" s="120"/>
      <c r="O94" s="60"/>
    </row>
    <row r="95" spans="1:15" x14ac:dyDescent="0.25">
      <c r="A95" s="134" t="s">
        <v>324</v>
      </c>
      <c r="B95" s="152" t="s">
        <v>499</v>
      </c>
      <c r="C95" s="139"/>
      <c r="D95" s="137">
        <v>7</v>
      </c>
      <c r="E95" s="137" t="s">
        <v>500</v>
      </c>
      <c r="F95" s="173">
        <v>65.319999999999993</v>
      </c>
      <c r="G95" s="138">
        <f t="shared" si="2"/>
        <v>457.23999999999995</v>
      </c>
      <c r="H95" s="124">
        <f t="shared" si="3"/>
        <v>480.1</v>
      </c>
      <c r="I95" s="137">
        <v>11732277122</v>
      </c>
      <c r="J95" s="123"/>
      <c r="N95" s="120"/>
      <c r="O95" s="60"/>
    </row>
    <row r="96" spans="1:15" x14ac:dyDescent="0.25">
      <c r="A96" s="134" t="s">
        <v>328</v>
      </c>
      <c r="B96" s="152" t="s">
        <v>501</v>
      </c>
      <c r="C96" s="139"/>
      <c r="D96" s="137">
        <v>1</v>
      </c>
      <c r="E96" s="137" t="s">
        <v>500</v>
      </c>
      <c r="F96" s="173">
        <v>61.65</v>
      </c>
      <c r="G96" s="138">
        <f t="shared" si="2"/>
        <v>61.65</v>
      </c>
      <c r="H96" s="124">
        <f t="shared" si="3"/>
        <v>64.73</v>
      </c>
      <c r="I96" s="137">
        <v>3609987190</v>
      </c>
      <c r="J96" s="123"/>
      <c r="N96" s="120"/>
      <c r="O96" s="60"/>
    </row>
    <row r="97" spans="1:15" x14ac:dyDescent="0.25">
      <c r="A97" s="134" t="s">
        <v>334</v>
      </c>
      <c r="B97" s="152" t="s">
        <v>502</v>
      </c>
      <c r="C97" s="139"/>
      <c r="D97" s="137">
        <v>42</v>
      </c>
      <c r="E97" s="137" t="s">
        <v>503</v>
      </c>
      <c r="F97" s="173">
        <v>66.61</v>
      </c>
      <c r="G97" s="138">
        <f t="shared" si="2"/>
        <v>2797.62</v>
      </c>
      <c r="H97" s="124">
        <f t="shared" si="3"/>
        <v>2937.5</v>
      </c>
      <c r="I97" s="137">
        <v>4880340190</v>
      </c>
      <c r="J97" s="123"/>
      <c r="N97" s="120"/>
      <c r="O97" s="60"/>
    </row>
    <row r="98" spans="1:15" ht="16.5" customHeight="1" x14ac:dyDescent="0.25">
      <c r="A98" s="134" t="s">
        <v>338</v>
      </c>
      <c r="B98" s="152" t="s">
        <v>504</v>
      </c>
      <c r="C98" s="139"/>
      <c r="D98" s="137">
        <v>42</v>
      </c>
      <c r="E98" s="137" t="s">
        <v>503</v>
      </c>
      <c r="F98" s="173">
        <v>66.319999999999993</v>
      </c>
      <c r="G98" s="138">
        <f t="shared" si="2"/>
        <v>2785.4399999999996</v>
      </c>
      <c r="H98" s="124">
        <f t="shared" si="3"/>
        <v>2924.71</v>
      </c>
      <c r="I98" s="137">
        <v>4880293190</v>
      </c>
      <c r="J98" s="123"/>
      <c r="N98" s="120"/>
      <c r="O98" s="60"/>
    </row>
    <row r="99" spans="1:15" x14ac:dyDescent="0.25">
      <c r="A99" s="134" t="s">
        <v>343</v>
      </c>
      <c r="B99" s="152" t="s">
        <v>505</v>
      </c>
      <c r="C99" s="139"/>
      <c r="D99" s="137">
        <v>1</v>
      </c>
      <c r="E99" s="122" t="s">
        <v>506</v>
      </c>
      <c r="F99" s="173">
        <v>28.96</v>
      </c>
      <c r="G99" s="138">
        <f t="shared" si="2"/>
        <v>28.96</v>
      </c>
      <c r="H99" s="124">
        <f>ROUND(G99*1.21,2)</f>
        <v>35.04</v>
      </c>
      <c r="I99" s="137">
        <v>3023141001</v>
      </c>
      <c r="J99" s="123"/>
      <c r="N99" s="120"/>
      <c r="O99" s="60"/>
    </row>
    <row r="100" spans="1:15" x14ac:dyDescent="0.25">
      <c r="A100" s="134" t="s">
        <v>344</v>
      </c>
      <c r="B100" s="152" t="s">
        <v>507</v>
      </c>
      <c r="C100" s="139"/>
      <c r="D100" s="137">
        <v>2</v>
      </c>
      <c r="E100" s="137" t="s">
        <v>508</v>
      </c>
      <c r="F100" s="173">
        <v>34.75</v>
      </c>
      <c r="G100" s="138">
        <f t="shared" si="2"/>
        <v>69.5</v>
      </c>
      <c r="H100" s="124">
        <f t="shared" si="3"/>
        <v>72.98</v>
      </c>
      <c r="I100" s="137">
        <v>3005712190</v>
      </c>
      <c r="J100" s="123"/>
      <c r="N100" s="120"/>
      <c r="O100" s="60"/>
    </row>
    <row r="101" spans="1:15" x14ac:dyDescent="0.25">
      <c r="A101" s="134" t="s">
        <v>347</v>
      </c>
      <c r="B101" s="152" t="s">
        <v>509</v>
      </c>
      <c r="C101" s="139"/>
      <c r="D101" s="137">
        <v>6</v>
      </c>
      <c r="E101" s="122" t="s">
        <v>510</v>
      </c>
      <c r="F101" s="173">
        <v>184.71</v>
      </c>
      <c r="G101" s="138">
        <f t="shared" si="2"/>
        <v>1108.26</v>
      </c>
      <c r="H101" s="124">
        <f>ROUND(G101*1.21,2)</f>
        <v>1340.99</v>
      </c>
      <c r="I101" s="137">
        <v>12102137001</v>
      </c>
      <c r="J101" s="123"/>
      <c r="N101" s="120"/>
      <c r="O101" s="60"/>
    </row>
    <row r="102" spans="1:15" x14ac:dyDescent="0.25">
      <c r="A102" s="134" t="s">
        <v>349</v>
      </c>
      <c r="B102" s="152" t="s">
        <v>511</v>
      </c>
      <c r="C102" s="139"/>
      <c r="D102" s="137">
        <v>1</v>
      </c>
      <c r="E102" s="137"/>
      <c r="F102" s="173">
        <v>2.9</v>
      </c>
      <c r="G102" s="138">
        <f t="shared" si="2"/>
        <v>2.9</v>
      </c>
      <c r="H102" s="124">
        <f>ROUND(G102*1.21,2)</f>
        <v>3.51</v>
      </c>
      <c r="I102" s="137">
        <v>3023150001</v>
      </c>
      <c r="J102" s="123"/>
      <c r="N102" s="120"/>
      <c r="O102" s="60"/>
    </row>
    <row r="103" spans="1:15" x14ac:dyDescent="0.25">
      <c r="A103" s="134" t="s">
        <v>352</v>
      </c>
      <c r="B103" s="152" t="s">
        <v>512</v>
      </c>
      <c r="C103" s="139"/>
      <c r="D103" s="137">
        <v>2</v>
      </c>
      <c r="E103" s="137"/>
      <c r="F103" s="173">
        <v>4.34</v>
      </c>
      <c r="G103" s="138">
        <f t="shared" si="2"/>
        <v>8.68</v>
      </c>
      <c r="H103" s="124">
        <f>ROUND(G103*1.21,2)</f>
        <v>10.5</v>
      </c>
      <c r="I103" s="137">
        <v>3027651001</v>
      </c>
      <c r="J103" s="123"/>
      <c r="N103" s="120"/>
      <c r="O103" s="60"/>
    </row>
    <row r="104" spans="1:15" x14ac:dyDescent="0.25">
      <c r="A104" s="134" t="s">
        <v>354</v>
      </c>
      <c r="B104" s="152" t="s">
        <v>513</v>
      </c>
      <c r="C104" s="139"/>
      <c r="D104" s="137">
        <v>3</v>
      </c>
      <c r="E104" s="137" t="s">
        <v>367</v>
      </c>
      <c r="F104" s="173">
        <v>43.44</v>
      </c>
      <c r="G104" s="138">
        <f t="shared" si="2"/>
        <v>130.32</v>
      </c>
      <c r="H104" s="124">
        <f t="shared" si="3"/>
        <v>136.84</v>
      </c>
      <c r="I104" s="122">
        <v>11298500316</v>
      </c>
      <c r="J104" s="123"/>
      <c r="N104" s="120"/>
      <c r="O104" s="60"/>
    </row>
    <row r="105" spans="1:15" ht="14.25" customHeight="1" x14ac:dyDescent="0.25">
      <c r="A105" s="134" t="s">
        <v>357</v>
      </c>
      <c r="B105" s="152" t="s">
        <v>514</v>
      </c>
      <c r="C105" s="139"/>
      <c r="D105" s="137">
        <v>27</v>
      </c>
      <c r="E105" s="137" t="s">
        <v>362</v>
      </c>
      <c r="F105" s="173">
        <v>43.44</v>
      </c>
      <c r="G105" s="138">
        <f t="shared" si="2"/>
        <v>1172.8799999999999</v>
      </c>
      <c r="H105" s="124">
        <f t="shared" si="3"/>
        <v>1231.52</v>
      </c>
      <c r="I105" s="122">
        <v>3004899190</v>
      </c>
      <c r="J105" s="123"/>
      <c r="N105" s="120"/>
      <c r="O105" s="60"/>
    </row>
    <row r="106" spans="1:15" x14ac:dyDescent="0.25">
      <c r="A106" s="185" t="s">
        <v>515</v>
      </c>
      <c r="B106" s="185"/>
      <c r="C106" s="185"/>
      <c r="D106" s="185"/>
      <c r="E106" s="185"/>
      <c r="F106" s="185"/>
      <c r="G106" s="153">
        <f>SUM(G12:G105)</f>
        <v>89406.060000000041</v>
      </c>
      <c r="H106" s="153">
        <f>SUM(H12:H105)</f>
        <v>94060.22000000003</v>
      </c>
      <c r="I106" s="133"/>
      <c r="N106" s="120"/>
      <c r="O106" s="60"/>
    </row>
    <row r="107" spans="1:15" x14ac:dyDescent="0.25">
      <c r="N107" s="120"/>
      <c r="O107" s="60"/>
    </row>
    <row r="108" spans="1:15" x14ac:dyDescent="0.25">
      <c r="A108" s="126" t="s">
        <v>516</v>
      </c>
      <c r="N108" s="120"/>
      <c r="O108" s="60"/>
    </row>
    <row r="109" spans="1:15" x14ac:dyDescent="0.25">
      <c r="A109" s="181" t="s">
        <v>517</v>
      </c>
      <c r="B109" s="181"/>
      <c r="C109" s="181"/>
      <c r="D109" s="181"/>
      <c r="E109" s="181"/>
      <c r="F109" s="181"/>
      <c r="G109" s="181"/>
      <c r="H109" s="181"/>
      <c r="I109" s="181"/>
      <c r="N109" s="120"/>
      <c r="O109" s="60"/>
    </row>
    <row r="110" spans="1:15" ht="28.5" customHeight="1" x14ac:dyDescent="0.25">
      <c r="A110" s="186" t="s">
        <v>394</v>
      </c>
      <c r="B110" s="186"/>
      <c r="C110" s="186"/>
      <c r="D110" s="186"/>
      <c r="E110" s="186"/>
      <c r="F110" s="186"/>
      <c r="G110" s="186"/>
      <c r="H110" s="186"/>
      <c r="I110" s="186"/>
      <c r="N110" s="120"/>
      <c r="O110" s="60"/>
    </row>
    <row r="111" spans="1:15" x14ac:dyDescent="0.25">
      <c r="A111" s="181" t="s">
        <v>395</v>
      </c>
      <c r="B111" s="181"/>
      <c r="C111" s="181"/>
      <c r="D111" s="181"/>
      <c r="E111" s="181"/>
      <c r="F111" s="181"/>
      <c r="G111" s="181"/>
      <c r="H111" s="181"/>
      <c r="I111" s="181"/>
      <c r="N111" s="120"/>
      <c r="O111" s="60"/>
    </row>
    <row r="112" spans="1:15" x14ac:dyDescent="0.25">
      <c r="A112" s="181" t="s">
        <v>396</v>
      </c>
      <c r="B112" s="181"/>
      <c r="C112" s="181"/>
      <c r="D112" s="181"/>
      <c r="E112" s="181"/>
      <c r="F112" s="181"/>
      <c r="G112" s="181"/>
      <c r="H112" s="181"/>
      <c r="I112" s="181"/>
      <c r="N112" s="120"/>
      <c r="O112" s="60"/>
    </row>
    <row r="113" spans="1:15" x14ac:dyDescent="0.25">
      <c r="A113" s="181" t="s">
        <v>397</v>
      </c>
      <c r="B113" s="181"/>
      <c r="C113" s="181"/>
      <c r="D113" s="181"/>
      <c r="E113" s="181"/>
      <c r="F113" s="181"/>
      <c r="G113" s="181"/>
      <c r="H113" s="181"/>
      <c r="I113" s="181"/>
      <c r="N113" s="120"/>
      <c r="O113" s="60"/>
    </row>
    <row r="114" spans="1:15" ht="38.25" customHeight="1" x14ac:dyDescent="0.25">
      <c r="A114" s="188" t="s">
        <v>518</v>
      </c>
      <c r="B114" s="188"/>
      <c r="C114" s="188"/>
      <c r="D114" s="188"/>
      <c r="E114" s="188"/>
      <c r="F114" s="188"/>
      <c r="G114" s="188"/>
      <c r="H114" s="188"/>
      <c r="I114" s="188"/>
      <c r="N114" s="120"/>
      <c r="O114" s="60"/>
    </row>
    <row r="115" spans="1:15" x14ac:dyDescent="0.25">
      <c r="N115" s="120"/>
      <c r="O115" s="60"/>
    </row>
    <row r="116" spans="1:15" x14ac:dyDescent="0.25">
      <c r="A116" s="183" t="s">
        <v>519</v>
      </c>
      <c r="B116" s="183"/>
      <c r="C116" s="183"/>
      <c r="D116" s="183"/>
      <c r="E116" s="183"/>
      <c r="F116" s="183"/>
      <c r="G116" s="183"/>
      <c r="H116" s="183"/>
      <c r="I116" s="183"/>
      <c r="N116" s="120"/>
      <c r="O116" s="60"/>
    </row>
    <row r="117" spans="1:15" x14ac:dyDescent="0.25">
      <c r="A117" s="183" t="s">
        <v>520</v>
      </c>
      <c r="B117" s="183"/>
      <c r="C117" s="183"/>
      <c r="D117" s="183"/>
      <c r="E117" s="183"/>
      <c r="F117" s="183"/>
      <c r="G117" s="183"/>
      <c r="H117" s="183"/>
      <c r="I117" s="183"/>
      <c r="N117" s="120"/>
      <c r="O117" s="60"/>
    </row>
    <row r="118" spans="1:15" x14ac:dyDescent="0.25">
      <c r="F118" s="189" t="s">
        <v>521</v>
      </c>
      <c r="G118" s="190"/>
      <c r="H118" s="190"/>
      <c r="N118" s="120"/>
      <c r="O118" s="60"/>
    </row>
    <row r="119" spans="1:15" ht="71.25" x14ac:dyDescent="0.25">
      <c r="A119" s="129" t="s">
        <v>403</v>
      </c>
      <c r="B119" s="130" t="s">
        <v>187</v>
      </c>
      <c r="C119" s="130" t="s">
        <v>188</v>
      </c>
      <c r="D119" s="130" t="s">
        <v>404</v>
      </c>
      <c r="E119" s="130" t="s">
        <v>189</v>
      </c>
      <c r="F119" s="130" t="s">
        <v>190</v>
      </c>
      <c r="G119" s="130" t="s">
        <v>405</v>
      </c>
      <c r="H119" s="130" t="s">
        <v>406</v>
      </c>
      <c r="I119" s="130" t="s">
        <v>191</v>
      </c>
      <c r="J119" s="131"/>
      <c r="K119" s="154"/>
      <c r="N119" s="120"/>
      <c r="O119" s="60"/>
    </row>
    <row r="120" spans="1:15" x14ac:dyDescent="0.25">
      <c r="A120" s="132">
        <v>1</v>
      </c>
      <c r="B120" s="132">
        <v>2</v>
      </c>
      <c r="C120" s="132">
        <v>3</v>
      </c>
      <c r="D120" s="132">
        <v>4</v>
      </c>
      <c r="E120" s="132">
        <v>5</v>
      </c>
      <c r="F120" s="132">
        <v>6</v>
      </c>
      <c r="G120" s="132">
        <v>7</v>
      </c>
      <c r="H120" s="132">
        <v>8</v>
      </c>
      <c r="I120" s="132">
        <v>9</v>
      </c>
      <c r="N120" s="120"/>
      <c r="O120" s="60"/>
    </row>
    <row r="121" spans="1:15" x14ac:dyDescent="0.25">
      <c r="A121" s="191" t="s">
        <v>192</v>
      </c>
      <c r="B121" s="191"/>
      <c r="C121" s="125"/>
      <c r="D121" s="125"/>
      <c r="E121" s="125"/>
      <c r="F121" s="125"/>
      <c r="G121" s="125"/>
      <c r="H121" s="125"/>
      <c r="I121" s="125"/>
      <c r="N121" s="120"/>
      <c r="O121" s="60"/>
    </row>
    <row r="122" spans="1:15" x14ac:dyDescent="0.25">
      <c r="A122" s="134" t="s">
        <v>52</v>
      </c>
      <c r="B122" s="135" t="s">
        <v>522</v>
      </c>
      <c r="C122" s="137">
        <v>9000</v>
      </c>
      <c r="D122" s="137">
        <v>30</v>
      </c>
      <c r="E122" s="137">
        <v>300</v>
      </c>
      <c r="F122" s="173">
        <v>16.190000000000001</v>
      </c>
      <c r="G122" s="124">
        <f>F122*D122</f>
        <v>485.70000000000005</v>
      </c>
      <c r="H122" s="124">
        <f>ROUND(G122*1.05,2)</f>
        <v>509.99</v>
      </c>
      <c r="I122" s="137">
        <v>3183734190</v>
      </c>
      <c r="J122" s="119"/>
      <c r="K122" s="155"/>
      <c r="N122" s="120"/>
      <c r="O122" s="60"/>
    </row>
    <row r="123" spans="1:15" x14ac:dyDescent="0.25">
      <c r="A123" s="134" t="s">
        <v>193</v>
      </c>
      <c r="B123" s="121" t="s">
        <v>194</v>
      </c>
      <c r="C123" s="137"/>
      <c r="D123" s="137">
        <v>1</v>
      </c>
      <c r="E123" s="137" t="s">
        <v>195</v>
      </c>
      <c r="F123" s="173">
        <v>48.22</v>
      </c>
      <c r="G123" s="124">
        <f t="shared" ref="G123:G186" si="4">F123*D123</f>
        <v>48.22</v>
      </c>
      <c r="H123" s="124">
        <f t="shared" ref="H123:H186" si="5">ROUND(G123*1.05,2)</f>
        <v>50.63</v>
      </c>
      <c r="I123" s="137">
        <v>10759350190</v>
      </c>
      <c r="J123" s="119"/>
      <c r="K123" s="155"/>
      <c r="N123" s="120"/>
      <c r="O123" s="60"/>
    </row>
    <row r="124" spans="1:15" x14ac:dyDescent="0.25">
      <c r="A124" s="134" t="s">
        <v>196</v>
      </c>
      <c r="B124" s="121" t="s">
        <v>197</v>
      </c>
      <c r="C124" s="137"/>
      <c r="D124" s="137">
        <v>1</v>
      </c>
      <c r="E124" s="137" t="s">
        <v>198</v>
      </c>
      <c r="F124" s="173">
        <v>208.53</v>
      </c>
      <c r="G124" s="124">
        <f t="shared" si="4"/>
        <v>208.53</v>
      </c>
      <c r="H124" s="124">
        <f t="shared" si="5"/>
        <v>218.96</v>
      </c>
      <c r="I124" s="122">
        <v>5117208922</v>
      </c>
      <c r="J124" s="119"/>
      <c r="K124" s="155"/>
      <c r="N124" s="120"/>
      <c r="O124" s="60"/>
    </row>
    <row r="125" spans="1:15" x14ac:dyDescent="0.25">
      <c r="A125" s="134" t="s">
        <v>199</v>
      </c>
      <c r="B125" s="121" t="s">
        <v>200</v>
      </c>
      <c r="C125" s="137"/>
      <c r="D125" s="137">
        <v>1</v>
      </c>
      <c r="E125" s="137" t="s">
        <v>198</v>
      </c>
      <c r="F125" s="173">
        <v>208.53</v>
      </c>
      <c r="G125" s="124">
        <f t="shared" si="4"/>
        <v>208.53</v>
      </c>
      <c r="H125" s="124">
        <f t="shared" si="5"/>
        <v>218.96</v>
      </c>
      <c r="I125" s="122">
        <v>5117291922</v>
      </c>
      <c r="J125" s="119"/>
      <c r="K125" s="155"/>
      <c r="N125" s="120"/>
      <c r="O125" s="60"/>
    </row>
    <row r="126" spans="1:15" x14ac:dyDescent="0.25">
      <c r="A126" s="134" t="s">
        <v>53</v>
      </c>
      <c r="B126" s="135" t="s">
        <v>523</v>
      </c>
      <c r="C126" s="137">
        <v>1100</v>
      </c>
      <c r="D126" s="137">
        <v>8</v>
      </c>
      <c r="E126" s="137">
        <v>150</v>
      </c>
      <c r="F126" s="173">
        <v>24.29</v>
      </c>
      <c r="G126" s="124">
        <f t="shared" si="4"/>
        <v>194.32</v>
      </c>
      <c r="H126" s="124">
        <f t="shared" si="5"/>
        <v>204.04</v>
      </c>
      <c r="I126" s="137">
        <v>3333825190</v>
      </c>
      <c r="J126" s="119"/>
      <c r="K126" s="155"/>
      <c r="N126" s="120"/>
      <c r="O126" s="60"/>
    </row>
    <row r="127" spans="1:15" x14ac:dyDescent="0.25">
      <c r="A127" s="134" t="s">
        <v>201</v>
      </c>
      <c r="B127" s="121" t="s">
        <v>202</v>
      </c>
      <c r="C127" s="137"/>
      <c r="D127" s="137">
        <v>1</v>
      </c>
      <c r="E127" s="137" t="s">
        <v>203</v>
      </c>
      <c r="F127" s="173">
        <v>65.17</v>
      </c>
      <c r="G127" s="124">
        <f t="shared" si="4"/>
        <v>65.17</v>
      </c>
      <c r="H127" s="124">
        <f t="shared" si="5"/>
        <v>68.430000000000007</v>
      </c>
      <c r="I127" s="137">
        <v>3121305122</v>
      </c>
      <c r="J127" s="119"/>
      <c r="K127" s="155"/>
      <c r="N127" s="120"/>
      <c r="O127" s="60"/>
    </row>
    <row r="128" spans="1:15" x14ac:dyDescent="0.25">
      <c r="A128" s="134" t="s">
        <v>204</v>
      </c>
      <c r="B128" s="121" t="s">
        <v>205</v>
      </c>
      <c r="C128" s="137"/>
      <c r="D128" s="137">
        <v>2</v>
      </c>
      <c r="E128" s="137" t="s">
        <v>206</v>
      </c>
      <c r="F128" s="173">
        <v>129.9</v>
      </c>
      <c r="G128" s="124">
        <f t="shared" si="4"/>
        <v>259.8</v>
      </c>
      <c r="H128" s="124">
        <f t="shared" si="5"/>
        <v>272.79000000000002</v>
      </c>
      <c r="I128" s="137">
        <v>3121313122</v>
      </c>
      <c r="J128" s="119"/>
      <c r="K128" s="155"/>
      <c r="N128" s="120"/>
      <c r="O128" s="60"/>
    </row>
    <row r="129" spans="1:15" x14ac:dyDescent="0.25">
      <c r="A129" s="134" t="s">
        <v>207</v>
      </c>
      <c r="B129" s="121" t="s">
        <v>208</v>
      </c>
      <c r="C129" s="137"/>
      <c r="D129" s="137">
        <v>4</v>
      </c>
      <c r="E129" s="137" t="s">
        <v>206</v>
      </c>
      <c r="F129" s="173">
        <v>144.28</v>
      </c>
      <c r="G129" s="124">
        <f t="shared" si="4"/>
        <v>577.12</v>
      </c>
      <c r="H129" s="124">
        <f t="shared" si="5"/>
        <v>605.98</v>
      </c>
      <c r="I129" s="137">
        <v>3121291122</v>
      </c>
      <c r="J129" s="119"/>
      <c r="K129" s="155"/>
      <c r="N129" s="120"/>
      <c r="O129" s="60"/>
    </row>
    <row r="130" spans="1:15" x14ac:dyDescent="0.25">
      <c r="A130" s="134" t="s">
        <v>209</v>
      </c>
      <c r="B130" s="135" t="s">
        <v>524</v>
      </c>
      <c r="C130" s="137">
        <v>26000</v>
      </c>
      <c r="D130" s="137">
        <v>104</v>
      </c>
      <c r="E130" s="137">
        <v>250</v>
      </c>
      <c r="F130" s="173">
        <v>88.05</v>
      </c>
      <c r="G130" s="124">
        <f t="shared" si="4"/>
        <v>9157.1999999999989</v>
      </c>
      <c r="H130" s="124">
        <f t="shared" si="5"/>
        <v>9615.06</v>
      </c>
      <c r="I130" s="137">
        <v>4956842190</v>
      </c>
      <c r="J130" s="119"/>
      <c r="K130" s="155"/>
      <c r="N130" s="120"/>
      <c r="O130" s="60"/>
    </row>
    <row r="131" spans="1:15" x14ac:dyDescent="0.25">
      <c r="A131" s="134" t="s">
        <v>210</v>
      </c>
      <c r="B131" s="121" t="s">
        <v>211</v>
      </c>
      <c r="C131" s="137"/>
      <c r="D131" s="137">
        <v>1</v>
      </c>
      <c r="E131" s="137" t="s">
        <v>203</v>
      </c>
      <c r="F131" s="173">
        <v>125.64</v>
      </c>
      <c r="G131" s="124">
        <f t="shared" si="4"/>
        <v>125.64</v>
      </c>
      <c r="H131" s="124">
        <f t="shared" si="5"/>
        <v>131.91999999999999</v>
      </c>
      <c r="I131" s="137">
        <v>11355279216</v>
      </c>
      <c r="J131" s="119"/>
      <c r="K131" s="155"/>
      <c r="N131" s="120"/>
      <c r="O131" s="60"/>
    </row>
    <row r="132" spans="1:15" x14ac:dyDescent="0.25">
      <c r="A132" s="134" t="s">
        <v>212</v>
      </c>
      <c r="B132" s="121" t="s">
        <v>197</v>
      </c>
      <c r="C132" s="137"/>
      <c r="D132" s="137"/>
      <c r="E132" s="137" t="s">
        <v>198</v>
      </c>
      <c r="F132" s="173"/>
      <c r="G132" s="124"/>
      <c r="H132" s="124"/>
      <c r="I132" s="122">
        <v>5117208922</v>
      </c>
      <c r="J132" s="119"/>
      <c r="K132" s="155"/>
      <c r="N132" s="120"/>
      <c r="O132" s="60"/>
    </row>
    <row r="133" spans="1:15" x14ac:dyDescent="0.25">
      <c r="A133" s="134" t="s">
        <v>213</v>
      </c>
      <c r="B133" s="121" t="s">
        <v>200</v>
      </c>
      <c r="C133" s="137"/>
      <c r="D133" s="137"/>
      <c r="E133" s="137" t="s">
        <v>198</v>
      </c>
      <c r="F133" s="173"/>
      <c r="G133" s="124"/>
      <c r="H133" s="124"/>
      <c r="I133" s="122">
        <v>5117291922</v>
      </c>
      <c r="J133" s="119"/>
      <c r="K133" s="155"/>
      <c r="N133" s="120"/>
      <c r="O133" s="60"/>
    </row>
    <row r="134" spans="1:15" x14ac:dyDescent="0.25">
      <c r="A134" s="134" t="s">
        <v>65</v>
      </c>
      <c r="B134" s="135" t="s">
        <v>525</v>
      </c>
      <c r="C134" s="137">
        <v>1200</v>
      </c>
      <c r="D134" s="137">
        <v>12</v>
      </c>
      <c r="E134" s="137">
        <v>100</v>
      </c>
      <c r="F134" s="173">
        <v>41.83</v>
      </c>
      <c r="G134" s="124">
        <f t="shared" si="4"/>
        <v>501.96</v>
      </c>
      <c r="H134" s="124">
        <f t="shared" si="5"/>
        <v>527.05999999999995</v>
      </c>
      <c r="I134" s="137">
        <v>4469658190</v>
      </c>
      <c r="J134" s="119"/>
      <c r="K134" s="155"/>
      <c r="N134" s="120"/>
      <c r="O134" s="60"/>
    </row>
    <row r="135" spans="1:15" x14ac:dyDescent="0.25">
      <c r="A135" s="134" t="s">
        <v>214</v>
      </c>
      <c r="B135" s="121" t="s">
        <v>202</v>
      </c>
      <c r="C135" s="137"/>
      <c r="D135" s="137">
        <v>1</v>
      </c>
      <c r="E135" s="137" t="s">
        <v>203</v>
      </c>
      <c r="F135" s="173">
        <v>65.17</v>
      </c>
      <c r="G135" s="124">
        <f t="shared" si="4"/>
        <v>65.17</v>
      </c>
      <c r="H135" s="124">
        <f t="shared" si="5"/>
        <v>68.430000000000007</v>
      </c>
      <c r="I135" s="137">
        <v>3121305122</v>
      </c>
      <c r="J135" s="119"/>
      <c r="K135" s="155"/>
      <c r="N135" s="120"/>
      <c r="O135" s="60"/>
    </row>
    <row r="136" spans="1:15" x14ac:dyDescent="0.25">
      <c r="A136" s="134" t="s">
        <v>215</v>
      </c>
      <c r="B136" s="121" t="s">
        <v>197</v>
      </c>
      <c r="C136" s="137"/>
      <c r="D136" s="137"/>
      <c r="E136" s="137" t="s">
        <v>198</v>
      </c>
      <c r="F136" s="173"/>
      <c r="G136" s="124"/>
      <c r="H136" s="124"/>
      <c r="I136" s="122">
        <v>5117208922</v>
      </c>
      <c r="J136" s="119"/>
      <c r="K136" s="155"/>
      <c r="N136" s="120"/>
      <c r="O136" s="60"/>
    </row>
    <row r="137" spans="1:15" x14ac:dyDescent="0.25">
      <c r="A137" s="134" t="s">
        <v>216</v>
      </c>
      <c r="B137" s="121" t="s">
        <v>200</v>
      </c>
      <c r="C137" s="137"/>
      <c r="D137" s="137"/>
      <c r="E137" s="137" t="s">
        <v>198</v>
      </c>
      <c r="F137" s="173"/>
      <c r="G137" s="124"/>
      <c r="H137" s="124"/>
      <c r="I137" s="122">
        <v>5117291922</v>
      </c>
      <c r="J137" s="119"/>
      <c r="K137" s="155"/>
      <c r="N137" s="120"/>
      <c r="O137" s="60"/>
    </row>
    <row r="138" spans="1:15" x14ac:dyDescent="0.25">
      <c r="A138" s="134" t="s">
        <v>67</v>
      </c>
      <c r="B138" s="135" t="s">
        <v>526</v>
      </c>
      <c r="C138" s="137">
        <v>24000</v>
      </c>
      <c r="D138" s="137">
        <v>48</v>
      </c>
      <c r="E138" s="137">
        <v>500</v>
      </c>
      <c r="F138" s="173">
        <v>19.13</v>
      </c>
      <c r="G138" s="124">
        <f t="shared" si="4"/>
        <v>918.24</v>
      </c>
      <c r="H138" s="124">
        <f t="shared" si="5"/>
        <v>964.15</v>
      </c>
      <c r="I138" s="137">
        <v>4460715190</v>
      </c>
      <c r="J138" s="119"/>
      <c r="K138" s="155"/>
      <c r="N138" s="120"/>
      <c r="O138" s="60"/>
    </row>
    <row r="139" spans="1:15" x14ac:dyDescent="0.25">
      <c r="A139" s="134" t="s">
        <v>218</v>
      </c>
      <c r="B139" s="121" t="s">
        <v>194</v>
      </c>
      <c r="C139" s="137"/>
      <c r="D139" s="137">
        <v>1</v>
      </c>
      <c r="E139" s="137" t="s">
        <v>195</v>
      </c>
      <c r="F139" s="173">
        <v>48.22</v>
      </c>
      <c r="G139" s="124">
        <f t="shared" si="4"/>
        <v>48.22</v>
      </c>
      <c r="H139" s="124">
        <f t="shared" si="5"/>
        <v>50.63</v>
      </c>
      <c r="I139" s="137">
        <v>10759350190</v>
      </c>
      <c r="J139" s="119"/>
      <c r="K139" s="155"/>
      <c r="N139" s="120"/>
      <c r="O139" s="60"/>
    </row>
    <row r="140" spans="1:15" x14ac:dyDescent="0.25">
      <c r="A140" s="134" t="s">
        <v>219</v>
      </c>
      <c r="B140" s="121" t="s">
        <v>197</v>
      </c>
      <c r="C140" s="137"/>
      <c r="D140" s="137"/>
      <c r="E140" s="137" t="s">
        <v>198</v>
      </c>
      <c r="F140" s="173"/>
      <c r="G140" s="124"/>
      <c r="H140" s="124"/>
      <c r="I140" s="122">
        <v>5117208922</v>
      </c>
      <c r="J140" s="119"/>
      <c r="K140" s="155"/>
      <c r="N140" s="120"/>
      <c r="O140" s="60"/>
    </row>
    <row r="141" spans="1:15" x14ac:dyDescent="0.25">
      <c r="A141" s="134" t="s">
        <v>220</v>
      </c>
      <c r="B141" s="121" t="s">
        <v>200</v>
      </c>
      <c r="C141" s="137"/>
      <c r="D141" s="137"/>
      <c r="E141" s="137" t="s">
        <v>198</v>
      </c>
      <c r="F141" s="173"/>
      <c r="G141" s="124"/>
      <c r="H141" s="124"/>
      <c r="I141" s="122">
        <v>5117291922</v>
      </c>
      <c r="J141" s="119"/>
      <c r="K141" s="155"/>
      <c r="N141" s="120"/>
      <c r="O141" s="60"/>
    </row>
    <row r="142" spans="1:15" x14ac:dyDescent="0.25">
      <c r="A142" s="134" t="s">
        <v>69</v>
      </c>
      <c r="B142" s="135" t="s">
        <v>217</v>
      </c>
      <c r="C142" s="137">
        <v>20000</v>
      </c>
      <c r="D142" s="137">
        <v>28</v>
      </c>
      <c r="E142" s="137">
        <v>700</v>
      </c>
      <c r="F142" s="173">
        <v>26.06</v>
      </c>
      <c r="G142" s="124">
        <f t="shared" si="4"/>
        <v>729.68</v>
      </c>
      <c r="H142" s="124">
        <f t="shared" si="5"/>
        <v>766.16</v>
      </c>
      <c r="I142" s="137">
        <v>4810716190</v>
      </c>
      <c r="J142" s="119"/>
      <c r="K142" s="155"/>
      <c r="N142" s="120"/>
      <c r="O142" s="60"/>
    </row>
    <row r="143" spans="1:15" x14ac:dyDescent="0.25">
      <c r="A143" s="134" t="s">
        <v>222</v>
      </c>
      <c r="B143" s="121" t="s">
        <v>194</v>
      </c>
      <c r="C143" s="137"/>
      <c r="D143" s="137"/>
      <c r="E143" s="137" t="s">
        <v>195</v>
      </c>
      <c r="F143" s="173"/>
      <c r="G143" s="124"/>
      <c r="H143" s="124"/>
      <c r="I143" s="137">
        <v>10759350190</v>
      </c>
      <c r="J143" s="119"/>
      <c r="K143" s="155"/>
      <c r="N143" s="120"/>
      <c r="O143" s="60"/>
    </row>
    <row r="144" spans="1:15" x14ac:dyDescent="0.25">
      <c r="A144" s="134" t="s">
        <v>223</v>
      </c>
      <c r="B144" s="121" t="s">
        <v>197</v>
      </c>
      <c r="C144" s="137"/>
      <c r="D144" s="137"/>
      <c r="E144" s="137" t="s">
        <v>198</v>
      </c>
      <c r="F144" s="173"/>
      <c r="G144" s="124"/>
      <c r="H144" s="124"/>
      <c r="I144" s="122">
        <v>5117208922</v>
      </c>
      <c r="J144" s="119"/>
      <c r="K144" s="155"/>
      <c r="N144" s="120"/>
      <c r="O144" s="60"/>
    </row>
    <row r="145" spans="1:15" x14ac:dyDescent="0.25">
      <c r="A145" s="134" t="s">
        <v>224</v>
      </c>
      <c r="B145" s="121" t="s">
        <v>200</v>
      </c>
      <c r="C145" s="137"/>
      <c r="D145" s="137"/>
      <c r="E145" s="137" t="s">
        <v>198</v>
      </c>
      <c r="F145" s="173"/>
      <c r="G145" s="124"/>
      <c r="H145" s="124"/>
      <c r="I145" s="122">
        <v>5117291922</v>
      </c>
      <c r="J145" s="119"/>
      <c r="K145" s="155"/>
      <c r="N145" s="120"/>
      <c r="O145" s="60"/>
    </row>
    <row r="146" spans="1:15" x14ac:dyDescent="0.25">
      <c r="A146" s="134" t="s">
        <v>70</v>
      </c>
      <c r="B146" s="135" t="s">
        <v>221</v>
      </c>
      <c r="C146" s="137">
        <v>170</v>
      </c>
      <c r="D146" s="137">
        <v>1</v>
      </c>
      <c r="E146" s="137">
        <v>700</v>
      </c>
      <c r="F146" s="173">
        <v>26.06</v>
      </c>
      <c r="G146" s="124">
        <f t="shared" si="4"/>
        <v>26.06</v>
      </c>
      <c r="H146" s="124">
        <f t="shared" si="5"/>
        <v>27.36</v>
      </c>
      <c r="I146" s="137">
        <v>4810716190</v>
      </c>
      <c r="J146" s="119"/>
      <c r="K146" s="155"/>
      <c r="N146" s="120"/>
      <c r="O146" s="60"/>
    </row>
    <row r="147" spans="1:15" x14ac:dyDescent="0.25">
      <c r="A147" s="134" t="s">
        <v>225</v>
      </c>
      <c r="B147" s="121" t="s">
        <v>194</v>
      </c>
      <c r="C147" s="137"/>
      <c r="D147" s="137"/>
      <c r="E147" s="137" t="s">
        <v>195</v>
      </c>
      <c r="F147" s="173"/>
      <c r="G147" s="124"/>
      <c r="H147" s="124"/>
      <c r="I147" s="137">
        <v>10759350190</v>
      </c>
      <c r="J147" s="119"/>
      <c r="K147" s="155"/>
      <c r="N147" s="120"/>
      <c r="O147" s="60"/>
    </row>
    <row r="148" spans="1:15" x14ac:dyDescent="0.25">
      <c r="A148" s="134" t="s">
        <v>226</v>
      </c>
      <c r="B148" s="121" t="s">
        <v>197</v>
      </c>
      <c r="C148" s="137"/>
      <c r="D148" s="137"/>
      <c r="E148" s="137" t="s">
        <v>198</v>
      </c>
      <c r="F148" s="173"/>
      <c r="G148" s="124"/>
      <c r="H148" s="124"/>
      <c r="I148" s="122">
        <v>5117208922</v>
      </c>
      <c r="J148" s="119"/>
      <c r="K148" s="155"/>
      <c r="N148" s="120"/>
      <c r="O148" s="60"/>
    </row>
    <row r="149" spans="1:15" x14ac:dyDescent="0.25">
      <c r="A149" s="134" t="s">
        <v>227</v>
      </c>
      <c r="B149" s="121" t="s">
        <v>200</v>
      </c>
      <c r="C149" s="137"/>
      <c r="D149" s="137"/>
      <c r="E149" s="137" t="s">
        <v>198</v>
      </c>
      <c r="F149" s="173"/>
      <c r="G149" s="124"/>
      <c r="H149" s="124"/>
      <c r="I149" s="122">
        <v>5117291922</v>
      </c>
      <c r="J149" s="119"/>
      <c r="K149" s="155"/>
      <c r="N149" s="120"/>
      <c r="O149" s="60"/>
    </row>
    <row r="150" spans="1:15" x14ac:dyDescent="0.25">
      <c r="A150" s="134" t="s">
        <v>71</v>
      </c>
      <c r="B150" s="135" t="s">
        <v>527</v>
      </c>
      <c r="C150" s="137">
        <v>4000</v>
      </c>
      <c r="D150" s="137">
        <v>10</v>
      </c>
      <c r="E150" s="137">
        <v>400</v>
      </c>
      <c r="F150" s="173">
        <v>24.62</v>
      </c>
      <c r="G150" s="124">
        <f t="shared" si="4"/>
        <v>246.20000000000002</v>
      </c>
      <c r="H150" s="124">
        <f t="shared" si="5"/>
        <v>258.51</v>
      </c>
      <c r="I150" s="137">
        <v>3183807190</v>
      </c>
      <c r="J150" s="119"/>
      <c r="K150" s="155"/>
      <c r="N150" s="120"/>
      <c r="O150" s="60"/>
    </row>
    <row r="151" spans="1:15" x14ac:dyDescent="0.25">
      <c r="A151" s="134" t="s">
        <v>228</v>
      </c>
      <c r="B151" s="121" t="s">
        <v>194</v>
      </c>
      <c r="C151" s="137"/>
      <c r="D151" s="137"/>
      <c r="E151" s="137" t="s">
        <v>195</v>
      </c>
      <c r="F151" s="173"/>
      <c r="G151" s="124"/>
      <c r="H151" s="124"/>
      <c r="I151" s="137">
        <v>10759350190</v>
      </c>
      <c r="J151" s="119"/>
      <c r="K151" s="155"/>
      <c r="N151" s="120"/>
      <c r="O151" s="60"/>
    </row>
    <row r="152" spans="1:15" x14ac:dyDescent="0.25">
      <c r="A152" s="134" t="s">
        <v>229</v>
      </c>
      <c r="B152" s="121" t="s">
        <v>197</v>
      </c>
      <c r="C152" s="137"/>
      <c r="D152" s="137"/>
      <c r="E152" s="137" t="s">
        <v>198</v>
      </c>
      <c r="F152" s="173"/>
      <c r="G152" s="124"/>
      <c r="H152" s="124"/>
      <c r="I152" s="122">
        <v>5117208922</v>
      </c>
      <c r="J152" s="119"/>
      <c r="K152" s="155"/>
      <c r="N152" s="120"/>
      <c r="O152" s="60"/>
    </row>
    <row r="153" spans="1:15" x14ac:dyDescent="0.25">
      <c r="A153" s="134" t="s">
        <v>230</v>
      </c>
      <c r="B153" s="121" t="s">
        <v>200</v>
      </c>
      <c r="C153" s="137"/>
      <c r="D153" s="137"/>
      <c r="E153" s="137" t="s">
        <v>198</v>
      </c>
      <c r="F153" s="173"/>
      <c r="G153" s="124"/>
      <c r="H153" s="124"/>
      <c r="I153" s="122">
        <v>5117291922</v>
      </c>
      <c r="J153" s="119"/>
      <c r="K153" s="155"/>
      <c r="N153" s="120"/>
      <c r="O153" s="60"/>
    </row>
    <row r="154" spans="1:15" x14ac:dyDescent="0.25">
      <c r="A154" s="134" t="s">
        <v>231</v>
      </c>
      <c r="B154" s="135" t="s">
        <v>528</v>
      </c>
      <c r="C154" s="137">
        <v>10000</v>
      </c>
      <c r="D154" s="137">
        <v>40</v>
      </c>
      <c r="E154" s="137">
        <v>250</v>
      </c>
      <c r="F154" s="173">
        <v>33.36</v>
      </c>
      <c r="G154" s="124">
        <f t="shared" si="4"/>
        <v>1334.4</v>
      </c>
      <c r="H154" s="124">
        <f t="shared" si="5"/>
        <v>1401.12</v>
      </c>
      <c r="I154" s="137">
        <v>5795397190</v>
      </c>
      <c r="J154" s="119"/>
      <c r="K154" s="155"/>
      <c r="N154" s="120"/>
      <c r="O154" s="60"/>
    </row>
    <row r="155" spans="1:15" x14ac:dyDescent="0.25">
      <c r="A155" s="134" t="s">
        <v>232</v>
      </c>
      <c r="B155" s="121" t="s">
        <v>194</v>
      </c>
      <c r="C155" s="137"/>
      <c r="D155" s="137"/>
      <c r="E155" s="137" t="s">
        <v>195</v>
      </c>
      <c r="F155" s="173"/>
      <c r="G155" s="124"/>
      <c r="H155" s="124"/>
      <c r="I155" s="137">
        <v>10759350190</v>
      </c>
      <c r="J155" s="119"/>
      <c r="K155" s="155"/>
      <c r="N155" s="120"/>
      <c r="O155" s="60"/>
    </row>
    <row r="156" spans="1:15" x14ac:dyDescent="0.25">
      <c r="A156" s="134" t="s">
        <v>233</v>
      </c>
      <c r="B156" s="121" t="s">
        <v>197</v>
      </c>
      <c r="C156" s="137"/>
      <c r="D156" s="137"/>
      <c r="E156" s="137" t="s">
        <v>198</v>
      </c>
      <c r="F156" s="173"/>
      <c r="G156" s="124"/>
      <c r="H156" s="124"/>
      <c r="I156" s="122">
        <v>5117208922</v>
      </c>
      <c r="J156" s="119"/>
      <c r="K156" s="155"/>
      <c r="N156" s="120"/>
      <c r="O156" s="60"/>
    </row>
    <row r="157" spans="1:15" x14ac:dyDescent="0.25">
      <c r="A157" s="134" t="s">
        <v>234</v>
      </c>
      <c r="B157" s="121" t="s">
        <v>200</v>
      </c>
      <c r="C157" s="137"/>
      <c r="D157" s="137"/>
      <c r="E157" s="137" t="s">
        <v>198</v>
      </c>
      <c r="F157" s="173"/>
      <c r="G157" s="124"/>
      <c r="H157" s="124"/>
      <c r="I157" s="122">
        <v>5117291922</v>
      </c>
      <c r="J157" s="119"/>
      <c r="K157" s="155"/>
      <c r="N157" s="120"/>
      <c r="O157" s="60"/>
    </row>
    <row r="158" spans="1:15" x14ac:dyDescent="0.25">
      <c r="A158" s="134" t="s">
        <v>235</v>
      </c>
      <c r="B158" s="135" t="s">
        <v>529</v>
      </c>
      <c r="C158" s="137">
        <v>4200</v>
      </c>
      <c r="D158" s="137">
        <v>12</v>
      </c>
      <c r="E158" s="137">
        <v>350</v>
      </c>
      <c r="F158" s="173">
        <v>18.239999999999998</v>
      </c>
      <c r="G158" s="124">
        <f t="shared" si="4"/>
        <v>218.88</v>
      </c>
      <c r="H158" s="124">
        <f t="shared" si="5"/>
        <v>229.82</v>
      </c>
      <c r="I158" s="137">
        <v>5589061190</v>
      </c>
      <c r="J158" s="119"/>
      <c r="K158" s="155"/>
      <c r="N158" s="120"/>
      <c r="O158" s="60"/>
    </row>
    <row r="159" spans="1:15" x14ac:dyDescent="0.25">
      <c r="A159" s="134" t="s">
        <v>236</v>
      </c>
      <c r="B159" s="121" t="s">
        <v>194</v>
      </c>
      <c r="C159" s="137"/>
      <c r="D159" s="137"/>
      <c r="E159" s="137" t="s">
        <v>195</v>
      </c>
      <c r="F159" s="173"/>
      <c r="G159" s="124"/>
      <c r="H159" s="124"/>
      <c r="I159" s="137">
        <v>10759350190</v>
      </c>
      <c r="J159" s="119"/>
      <c r="K159" s="155"/>
      <c r="N159" s="120"/>
      <c r="O159" s="60"/>
    </row>
    <row r="160" spans="1:15" x14ac:dyDescent="0.25">
      <c r="A160" s="134" t="s">
        <v>237</v>
      </c>
      <c r="B160" s="121" t="s">
        <v>197</v>
      </c>
      <c r="C160" s="137"/>
      <c r="D160" s="137"/>
      <c r="E160" s="137" t="s">
        <v>198</v>
      </c>
      <c r="F160" s="173"/>
      <c r="G160" s="124"/>
      <c r="H160" s="124"/>
      <c r="I160" s="122">
        <v>5117208922</v>
      </c>
      <c r="J160" s="119"/>
      <c r="K160" s="155"/>
      <c r="N160" s="120"/>
      <c r="O160" s="60"/>
    </row>
    <row r="161" spans="1:15" x14ac:dyDescent="0.25">
      <c r="A161" s="134" t="s">
        <v>238</v>
      </c>
      <c r="B161" s="121" t="s">
        <v>200</v>
      </c>
      <c r="C161" s="137"/>
      <c r="D161" s="137"/>
      <c r="E161" s="137" t="s">
        <v>198</v>
      </c>
      <c r="F161" s="173"/>
      <c r="G161" s="124"/>
      <c r="H161" s="124"/>
      <c r="I161" s="122">
        <v>5117291922</v>
      </c>
      <c r="J161" s="119"/>
      <c r="K161" s="155"/>
      <c r="N161" s="120"/>
      <c r="O161" s="60"/>
    </row>
    <row r="162" spans="1:15" x14ac:dyDescent="0.25">
      <c r="A162" s="134" t="s">
        <v>239</v>
      </c>
      <c r="B162" s="135" t="s">
        <v>530</v>
      </c>
      <c r="C162" s="137">
        <v>6000</v>
      </c>
      <c r="D162" s="137">
        <v>12</v>
      </c>
      <c r="E162" s="137">
        <v>500</v>
      </c>
      <c r="F162" s="173">
        <v>26.55</v>
      </c>
      <c r="G162" s="124">
        <f t="shared" si="4"/>
        <v>318.60000000000002</v>
      </c>
      <c r="H162" s="124">
        <f t="shared" si="5"/>
        <v>334.53</v>
      </c>
      <c r="I162" s="137">
        <v>20764957322</v>
      </c>
      <c r="J162" s="119"/>
      <c r="K162" s="155"/>
      <c r="N162" s="120"/>
      <c r="O162" s="60"/>
    </row>
    <row r="163" spans="1:15" x14ac:dyDescent="0.25">
      <c r="A163" s="134" t="s">
        <v>240</v>
      </c>
      <c r="B163" s="121" t="s">
        <v>194</v>
      </c>
      <c r="C163" s="137"/>
      <c r="D163" s="137"/>
      <c r="E163" s="137" t="s">
        <v>195</v>
      </c>
      <c r="F163" s="173"/>
      <c r="G163" s="124"/>
      <c r="H163" s="124"/>
      <c r="I163" s="137">
        <v>10759350190</v>
      </c>
      <c r="J163" s="119"/>
      <c r="K163" s="155"/>
      <c r="N163" s="120"/>
      <c r="O163" s="60"/>
    </row>
    <row r="164" spans="1:15" x14ac:dyDescent="0.25">
      <c r="A164" s="134" t="s">
        <v>241</v>
      </c>
      <c r="B164" s="121" t="s">
        <v>197</v>
      </c>
      <c r="C164" s="137"/>
      <c r="D164" s="137"/>
      <c r="E164" s="137" t="s">
        <v>198</v>
      </c>
      <c r="F164" s="173"/>
      <c r="G164" s="124"/>
      <c r="H164" s="124"/>
      <c r="I164" s="122">
        <v>5117208922</v>
      </c>
      <c r="J164" s="119"/>
      <c r="K164" s="155"/>
      <c r="N164" s="120"/>
      <c r="O164" s="60"/>
    </row>
    <row r="165" spans="1:15" x14ac:dyDescent="0.25">
      <c r="A165" s="134" t="s">
        <v>242</v>
      </c>
      <c r="B165" s="121" t="s">
        <v>200</v>
      </c>
      <c r="C165" s="137"/>
      <c r="D165" s="137"/>
      <c r="E165" s="137" t="s">
        <v>198</v>
      </c>
      <c r="F165" s="173"/>
      <c r="G165" s="124"/>
      <c r="H165" s="124"/>
      <c r="I165" s="122">
        <v>5117291922</v>
      </c>
      <c r="J165" s="119"/>
      <c r="K165" s="155"/>
      <c r="N165" s="120"/>
      <c r="O165" s="60"/>
    </row>
    <row r="166" spans="1:15" x14ac:dyDescent="0.25">
      <c r="A166" s="134" t="s">
        <v>243</v>
      </c>
      <c r="B166" s="135" t="s">
        <v>531</v>
      </c>
      <c r="C166" s="137">
        <v>6000</v>
      </c>
      <c r="D166" s="137">
        <v>12</v>
      </c>
      <c r="E166" s="137">
        <v>500</v>
      </c>
      <c r="F166" s="173">
        <v>26.33</v>
      </c>
      <c r="G166" s="124">
        <f t="shared" si="4"/>
        <v>315.95999999999998</v>
      </c>
      <c r="H166" s="124">
        <f t="shared" si="5"/>
        <v>331.76</v>
      </c>
      <c r="I166" s="137">
        <v>20764949322</v>
      </c>
      <c r="J166" s="119"/>
      <c r="K166" s="155"/>
      <c r="N166" s="120"/>
      <c r="O166" s="60"/>
    </row>
    <row r="167" spans="1:15" x14ac:dyDescent="0.25">
      <c r="A167" s="134" t="s">
        <v>244</v>
      </c>
      <c r="B167" s="121" t="s">
        <v>194</v>
      </c>
      <c r="C167" s="137"/>
      <c r="D167" s="137"/>
      <c r="E167" s="137" t="s">
        <v>195</v>
      </c>
      <c r="F167" s="173"/>
      <c r="G167" s="124"/>
      <c r="H167" s="124"/>
      <c r="I167" s="137">
        <v>10759350190</v>
      </c>
      <c r="J167" s="119"/>
      <c r="K167" s="155"/>
      <c r="N167" s="120"/>
      <c r="O167" s="60"/>
    </row>
    <row r="168" spans="1:15" x14ac:dyDescent="0.25">
      <c r="A168" s="134" t="s">
        <v>245</v>
      </c>
      <c r="B168" s="121" t="s">
        <v>197</v>
      </c>
      <c r="C168" s="137"/>
      <c r="D168" s="137"/>
      <c r="E168" s="137" t="s">
        <v>198</v>
      </c>
      <c r="F168" s="173"/>
      <c r="G168" s="124"/>
      <c r="H168" s="124"/>
      <c r="I168" s="122">
        <v>5117208922</v>
      </c>
      <c r="J168" s="119"/>
      <c r="K168" s="155"/>
      <c r="N168" s="120"/>
      <c r="O168" s="60"/>
    </row>
    <row r="169" spans="1:15" x14ac:dyDescent="0.25">
      <c r="A169" s="134" t="s">
        <v>246</v>
      </c>
      <c r="B169" s="121" t="s">
        <v>200</v>
      </c>
      <c r="C169" s="137"/>
      <c r="D169" s="137"/>
      <c r="E169" s="137" t="s">
        <v>198</v>
      </c>
      <c r="F169" s="173"/>
      <c r="G169" s="124"/>
      <c r="H169" s="124"/>
      <c r="I169" s="122">
        <v>5117291922</v>
      </c>
      <c r="J169" s="119"/>
      <c r="K169" s="155"/>
      <c r="N169" s="120"/>
      <c r="O169" s="60"/>
    </row>
    <row r="170" spans="1:15" x14ac:dyDescent="0.25">
      <c r="A170" s="134" t="s">
        <v>247</v>
      </c>
      <c r="B170" s="135" t="s">
        <v>532</v>
      </c>
      <c r="C170" s="137">
        <v>2400</v>
      </c>
      <c r="D170" s="137">
        <v>12</v>
      </c>
      <c r="E170" s="137">
        <v>200</v>
      </c>
      <c r="F170" s="173">
        <v>12.870000000000001</v>
      </c>
      <c r="G170" s="124">
        <f t="shared" si="4"/>
        <v>154.44</v>
      </c>
      <c r="H170" s="124">
        <f t="shared" si="5"/>
        <v>162.16</v>
      </c>
      <c r="I170" s="137">
        <v>3333752190</v>
      </c>
      <c r="J170" s="119"/>
      <c r="K170" s="155"/>
      <c r="N170" s="120"/>
      <c r="O170" s="60"/>
    </row>
    <row r="171" spans="1:15" x14ac:dyDescent="0.25">
      <c r="A171" s="134" t="s">
        <v>249</v>
      </c>
      <c r="B171" s="121" t="s">
        <v>194</v>
      </c>
      <c r="C171" s="137"/>
      <c r="D171" s="137"/>
      <c r="E171" s="137" t="s">
        <v>195</v>
      </c>
      <c r="F171" s="173"/>
      <c r="G171" s="124"/>
      <c r="H171" s="124"/>
      <c r="I171" s="137">
        <v>10759350190</v>
      </c>
      <c r="J171" s="119"/>
      <c r="K171" s="155"/>
      <c r="N171" s="120"/>
      <c r="O171" s="60"/>
    </row>
    <row r="172" spans="1:15" x14ac:dyDescent="0.25">
      <c r="A172" s="134" t="s">
        <v>250</v>
      </c>
      <c r="B172" s="121" t="s">
        <v>197</v>
      </c>
      <c r="C172" s="137"/>
      <c r="D172" s="137"/>
      <c r="E172" s="137" t="s">
        <v>198</v>
      </c>
      <c r="F172" s="173"/>
      <c r="G172" s="124"/>
      <c r="H172" s="124"/>
      <c r="I172" s="122">
        <v>5117208922</v>
      </c>
      <c r="J172" s="119"/>
      <c r="K172" s="155"/>
      <c r="N172" s="120"/>
      <c r="O172" s="60"/>
    </row>
    <row r="173" spans="1:15" x14ac:dyDescent="0.25">
      <c r="A173" s="134" t="s">
        <v>251</v>
      </c>
      <c r="B173" s="121" t="s">
        <v>200</v>
      </c>
      <c r="C173" s="137"/>
      <c r="D173" s="137"/>
      <c r="E173" s="137" t="s">
        <v>198</v>
      </c>
      <c r="F173" s="173"/>
      <c r="G173" s="124"/>
      <c r="H173" s="124"/>
      <c r="I173" s="122">
        <v>5117291922</v>
      </c>
      <c r="J173" s="119"/>
      <c r="K173" s="155"/>
      <c r="N173" s="120"/>
      <c r="O173" s="60"/>
    </row>
    <row r="174" spans="1:15" x14ac:dyDescent="0.25">
      <c r="A174" s="134" t="s">
        <v>252</v>
      </c>
      <c r="B174" s="135" t="s">
        <v>248</v>
      </c>
      <c r="C174" s="137">
        <v>2400</v>
      </c>
      <c r="D174" s="137">
        <v>6</v>
      </c>
      <c r="E174" s="137">
        <v>400</v>
      </c>
      <c r="F174" s="173">
        <v>24.88</v>
      </c>
      <c r="G174" s="124">
        <f t="shared" si="4"/>
        <v>149.28</v>
      </c>
      <c r="H174" s="124">
        <f t="shared" si="5"/>
        <v>156.74</v>
      </c>
      <c r="I174" s="137">
        <v>3002721122</v>
      </c>
      <c r="J174" s="119"/>
      <c r="K174" s="155"/>
      <c r="N174" s="120"/>
      <c r="O174" s="60"/>
    </row>
    <row r="175" spans="1:15" x14ac:dyDescent="0.25">
      <c r="A175" s="134" t="s">
        <v>253</v>
      </c>
      <c r="B175" s="121" t="s">
        <v>194</v>
      </c>
      <c r="C175" s="137"/>
      <c r="D175" s="137"/>
      <c r="E175" s="137" t="s">
        <v>195</v>
      </c>
      <c r="F175" s="173"/>
      <c r="G175" s="124"/>
      <c r="H175" s="124"/>
      <c r="I175" s="137">
        <v>10759350190</v>
      </c>
      <c r="J175" s="119"/>
      <c r="K175" s="155"/>
      <c r="N175" s="120"/>
      <c r="O175" s="60"/>
    </row>
    <row r="176" spans="1:15" x14ac:dyDescent="0.25">
      <c r="A176" s="134" t="s">
        <v>254</v>
      </c>
      <c r="B176" s="121" t="s">
        <v>197</v>
      </c>
      <c r="C176" s="137"/>
      <c r="D176" s="137"/>
      <c r="E176" s="137" t="s">
        <v>198</v>
      </c>
      <c r="F176" s="173"/>
      <c r="G176" s="124"/>
      <c r="H176" s="124"/>
      <c r="I176" s="122">
        <v>5117208922</v>
      </c>
      <c r="J176" s="119"/>
      <c r="K176" s="155"/>
      <c r="N176" s="120"/>
      <c r="O176" s="60"/>
    </row>
    <row r="177" spans="1:15" x14ac:dyDescent="0.25">
      <c r="A177" s="134" t="s">
        <v>255</v>
      </c>
      <c r="B177" s="121" t="s">
        <v>200</v>
      </c>
      <c r="C177" s="137"/>
      <c r="D177" s="137"/>
      <c r="E177" s="137" t="s">
        <v>198</v>
      </c>
      <c r="F177" s="173"/>
      <c r="G177" s="124"/>
      <c r="H177" s="124"/>
      <c r="I177" s="122">
        <v>5117291922</v>
      </c>
      <c r="J177" s="119"/>
      <c r="K177" s="155"/>
      <c r="N177" s="120"/>
      <c r="O177" s="60"/>
    </row>
    <row r="178" spans="1:15" x14ac:dyDescent="0.25">
      <c r="A178" s="134" t="s">
        <v>256</v>
      </c>
      <c r="B178" s="135" t="s">
        <v>533</v>
      </c>
      <c r="C178" s="137">
        <v>1000</v>
      </c>
      <c r="D178" s="137">
        <v>5</v>
      </c>
      <c r="E178" s="137">
        <v>200</v>
      </c>
      <c r="F178" s="173">
        <v>45</v>
      </c>
      <c r="G178" s="124">
        <f t="shared" si="4"/>
        <v>225</v>
      </c>
      <c r="H178" s="124">
        <f t="shared" si="5"/>
        <v>236.25</v>
      </c>
      <c r="I178" s="137">
        <v>3029590322</v>
      </c>
      <c r="J178" s="119"/>
      <c r="K178" s="155"/>
      <c r="N178" s="120"/>
      <c r="O178" s="60"/>
    </row>
    <row r="179" spans="1:15" x14ac:dyDescent="0.25">
      <c r="A179" s="134" t="s">
        <v>258</v>
      </c>
      <c r="B179" s="121" t="s">
        <v>194</v>
      </c>
      <c r="C179" s="137"/>
      <c r="D179" s="137"/>
      <c r="E179" s="137" t="s">
        <v>195</v>
      </c>
      <c r="F179" s="173"/>
      <c r="G179" s="124"/>
      <c r="H179" s="124"/>
      <c r="I179" s="137">
        <v>10759350190</v>
      </c>
      <c r="J179" s="119"/>
      <c r="K179" s="155"/>
      <c r="N179" s="120"/>
      <c r="O179" s="60"/>
    </row>
    <row r="180" spans="1:15" x14ac:dyDescent="0.25">
      <c r="A180" s="134" t="s">
        <v>259</v>
      </c>
      <c r="B180" s="121" t="s">
        <v>197</v>
      </c>
      <c r="C180" s="137"/>
      <c r="D180" s="137"/>
      <c r="E180" s="137" t="s">
        <v>198</v>
      </c>
      <c r="F180" s="173"/>
      <c r="G180" s="124"/>
      <c r="H180" s="124"/>
      <c r="I180" s="122">
        <v>5117208922</v>
      </c>
      <c r="J180" s="119"/>
      <c r="K180" s="155"/>
      <c r="N180" s="120"/>
      <c r="O180" s="60"/>
    </row>
    <row r="181" spans="1:15" x14ac:dyDescent="0.25">
      <c r="A181" s="134" t="s">
        <v>260</v>
      </c>
      <c r="B181" s="121" t="s">
        <v>200</v>
      </c>
      <c r="C181" s="137"/>
      <c r="D181" s="137"/>
      <c r="E181" s="137" t="s">
        <v>198</v>
      </c>
      <c r="F181" s="173"/>
      <c r="G181" s="124"/>
      <c r="H181" s="124"/>
      <c r="I181" s="122">
        <v>5117291922</v>
      </c>
      <c r="J181" s="119"/>
      <c r="K181" s="155"/>
      <c r="N181" s="120"/>
      <c r="O181" s="60"/>
    </row>
    <row r="182" spans="1:15" x14ac:dyDescent="0.25">
      <c r="A182" s="134" t="s">
        <v>261</v>
      </c>
      <c r="B182" s="135" t="s">
        <v>534</v>
      </c>
      <c r="C182" s="137">
        <v>3000</v>
      </c>
      <c r="D182" s="137">
        <v>10</v>
      </c>
      <c r="E182" s="137">
        <v>300</v>
      </c>
      <c r="F182" s="173">
        <v>64.47</v>
      </c>
      <c r="G182" s="124">
        <f t="shared" si="4"/>
        <v>644.70000000000005</v>
      </c>
      <c r="H182" s="124">
        <f t="shared" si="5"/>
        <v>676.94</v>
      </c>
      <c r="I182" s="137">
        <v>3183742122</v>
      </c>
      <c r="J182" s="119"/>
      <c r="K182" s="155"/>
      <c r="N182" s="120"/>
      <c r="O182" s="60"/>
    </row>
    <row r="183" spans="1:15" x14ac:dyDescent="0.25">
      <c r="A183" s="134" t="s">
        <v>262</v>
      </c>
      <c r="B183" s="121" t="s">
        <v>194</v>
      </c>
      <c r="C183" s="137"/>
      <c r="D183" s="137"/>
      <c r="E183" s="137" t="s">
        <v>195</v>
      </c>
      <c r="F183" s="173"/>
      <c r="G183" s="124"/>
      <c r="H183" s="124"/>
      <c r="I183" s="137">
        <v>10759350190</v>
      </c>
      <c r="J183" s="119"/>
      <c r="K183" s="155"/>
      <c r="N183" s="120"/>
      <c r="O183" s="60"/>
    </row>
    <row r="184" spans="1:15" x14ac:dyDescent="0.25">
      <c r="A184" s="134" t="s">
        <v>263</v>
      </c>
      <c r="B184" s="121" t="s">
        <v>197</v>
      </c>
      <c r="C184" s="137"/>
      <c r="D184" s="137"/>
      <c r="E184" s="137" t="s">
        <v>198</v>
      </c>
      <c r="F184" s="173"/>
      <c r="G184" s="124"/>
      <c r="H184" s="124"/>
      <c r="I184" s="122">
        <v>5117208922</v>
      </c>
      <c r="J184" s="119"/>
      <c r="K184" s="155"/>
      <c r="N184" s="120"/>
      <c r="O184" s="60"/>
    </row>
    <row r="185" spans="1:15" x14ac:dyDescent="0.25">
      <c r="A185" s="134" t="s">
        <v>264</v>
      </c>
      <c r="B185" s="121" t="s">
        <v>200</v>
      </c>
      <c r="C185" s="137"/>
      <c r="D185" s="137"/>
      <c r="E185" s="137" t="s">
        <v>198</v>
      </c>
      <c r="F185" s="173"/>
      <c r="G185" s="124"/>
      <c r="H185" s="124"/>
      <c r="I185" s="122">
        <v>5117291922</v>
      </c>
      <c r="J185" s="119"/>
      <c r="K185" s="155"/>
      <c r="N185" s="120"/>
      <c r="O185" s="60"/>
    </row>
    <row r="186" spans="1:15" x14ac:dyDescent="0.25">
      <c r="A186" s="134" t="s">
        <v>454</v>
      </c>
      <c r="B186" s="135" t="s">
        <v>535</v>
      </c>
      <c r="C186" s="137">
        <v>22700</v>
      </c>
      <c r="D186" s="137">
        <v>29</v>
      </c>
      <c r="E186" s="137">
        <v>800</v>
      </c>
      <c r="F186" s="173">
        <v>39.1</v>
      </c>
      <c r="G186" s="124">
        <f t="shared" si="4"/>
        <v>1133.9000000000001</v>
      </c>
      <c r="H186" s="124">
        <f t="shared" si="5"/>
        <v>1190.5999999999999</v>
      </c>
      <c r="I186" s="137">
        <v>4404483190</v>
      </c>
      <c r="J186" s="119"/>
      <c r="K186" s="155"/>
      <c r="N186" s="120"/>
      <c r="O186" s="60"/>
    </row>
    <row r="187" spans="1:15" x14ac:dyDescent="0.25">
      <c r="A187" s="134" t="s">
        <v>265</v>
      </c>
      <c r="B187" s="121" t="s">
        <v>194</v>
      </c>
      <c r="C187" s="137"/>
      <c r="D187" s="137"/>
      <c r="E187" s="137" t="s">
        <v>195</v>
      </c>
      <c r="F187" s="173"/>
      <c r="G187" s="124"/>
      <c r="H187" s="124"/>
      <c r="I187" s="137">
        <v>10759350190</v>
      </c>
      <c r="J187" s="119"/>
      <c r="K187" s="155"/>
      <c r="N187" s="120"/>
      <c r="O187" s="60"/>
    </row>
    <row r="188" spans="1:15" x14ac:dyDescent="0.25">
      <c r="A188" s="134" t="s">
        <v>266</v>
      </c>
      <c r="B188" s="121" t="s">
        <v>197</v>
      </c>
      <c r="C188" s="137"/>
      <c r="D188" s="137"/>
      <c r="E188" s="137" t="s">
        <v>198</v>
      </c>
      <c r="F188" s="173"/>
      <c r="G188" s="124"/>
      <c r="H188" s="124"/>
      <c r="I188" s="122">
        <v>5117208922</v>
      </c>
      <c r="J188" s="119"/>
      <c r="K188" s="155"/>
      <c r="N188" s="120"/>
      <c r="O188" s="60"/>
    </row>
    <row r="189" spans="1:15" x14ac:dyDescent="0.25">
      <c r="A189" s="134" t="s">
        <v>267</v>
      </c>
      <c r="B189" s="121" t="s">
        <v>200</v>
      </c>
      <c r="C189" s="137"/>
      <c r="D189" s="137"/>
      <c r="E189" s="137" t="s">
        <v>198</v>
      </c>
      <c r="F189" s="173"/>
      <c r="G189" s="124"/>
      <c r="H189" s="124"/>
      <c r="I189" s="122">
        <v>5117291922</v>
      </c>
      <c r="J189" s="119"/>
      <c r="K189" s="155"/>
      <c r="N189" s="120"/>
      <c r="O189" s="60"/>
    </row>
    <row r="190" spans="1:15" x14ac:dyDescent="0.25">
      <c r="A190" s="134" t="s">
        <v>268</v>
      </c>
      <c r="B190" s="135" t="s">
        <v>536</v>
      </c>
      <c r="C190" s="137">
        <v>5000</v>
      </c>
      <c r="D190" s="137">
        <v>13</v>
      </c>
      <c r="E190" s="137">
        <v>400</v>
      </c>
      <c r="F190" s="173">
        <v>24.3</v>
      </c>
      <c r="G190" s="124">
        <f t="shared" ref="G190:G253" si="6">F190*D190</f>
        <v>315.90000000000003</v>
      </c>
      <c r="H190" s="124">
        <f t="shared" ref="H190:H253" si="7">ROUND(G190*1.05,2)</f>
        <v>331.7</v>
      </c>
      <c r="I190" s="137">
        <v>3039773190</v>
      </c>
      <c r="J190" s="119"/>
      <c r="K190" s="155"/>
      <c r="N190" s="120"/>
      <c r="O190" s="60"/>
    </row>
    <row r="191" spans="1:15" x14ac:dyDescent="0.25">
      <c r="A191" s="134" t="s">
        <v>269</v>
      </c>
      <c r="B191" s="121" t="s">
        <v>194</v>
      </c>
      <c r="C191" s="137"/>
      <c r="D191" s="137"/>
      <c r="E191" s="137" t="s">
        <v>195</v>
      </c>
      <c r="F191" s="173"/>
      <c r="G191" s="124"/>
      <c r="H191" s="124"/>
      <c r="I191" s="137">
        <v>10759350190</v>
      </c>
      <c r="J191" s="119"/>
      <c r="K191" s="155"/>
      <c r="N191" s="120"/>
      <c r="O191" s="60"/>
    </row>
    <row r="192" spans="1:15" x14ac:dyDescent="0.25">
      <c r="A192" s="134" t="s">
        <v>270</v>
      </c>
      <c r="B192" s="121" t="s">
        <v>197</v>
      </c>
      <c r="C192" s="137"/>
      <c r="D192" s="137"/>
      <c r="E192" s="137" t="s">
        <v>198</v>
      </c>
      <c r="F192" s="173"/>
      <c r="G192" s="124"/>
      <c r="H192" s="124"/>
      <c r="I192" s="122">
        <v>5117208922</v>
      </c>
      <c r="J192" s="119"/>
      <c r="K192" s="155"/>
      <c r="N192" s="120"/>
      <c r="O192" s="60"/>
    </row>
    <row r="193" spans="1:15" x14ac:dyDescent="0.25">
      <c r="A193" s="134" t="s">
        <v>271</v>
      </c>
      <c r="B193" s="121" t="s">
        <v>200</v>
      </c>
      <c r="C193" s="137"/>
      <c r="D193" s="137"/>
      <c r="E193" s="137" t="s">
        <v>198</v>
      </c>
      <c r="F193" s="173"/>
      <c r="G193" s="124"/>
      <c r="H193" s="124"/>
      <c r="I193" s="122">
        <v>5117291922</v>
      </c>
      <c r="J193" s="119"/>
      <c r="K193" s="155"/>
      <c r="N193" s="120"/>
      <c r="O193" s="60"/>
    </row>
    <row r="194" spans="1:15" x14ac:dyDescent="0.25">
      <c r="A194" s="134" t="s">
        <v>272</v>
      </c>
      <c r="B194" s="135" t="s">
        <v>537</v>
      </c>
      <c r="C194" s="137">
        <v>2500</v>
      </c>
      <c r="D194" s="137">
        <v>10</v>
      </c>
      <c r="E194" s="137">
        <v>250</v>
      </c>
      <c r="F194" s="173">
        <v>23.46</v>
      </c>
      <c r="G194" s="124">
        <f t="shared" si="6"/>
        <v>234.60000000000002</v>
      </c>
      <c r="H194" s="124">
        <f t="shared" si="7"/>
        <v>246.33</v>
      </c>
      <c r="I194" s="137">
        <v>20767107322</v>
      </c>
      <c r="J194" s="119"/>
      <c r="K194" s="155"/>
      <c r="N194" s="120"/>
      <c r="O194" s="60"/>
    </row>
    <row r="195" spans="1:15" x14ac:dyDescent="0.25">
      <c r="A195" s="134" t="s">
        <v>273</v>
      </c>
      <c r="B195" s="121" t="s">
        <v>194</v>
      </c>
      <c r="C195" s="137"/>
      <c r="D195" s="137"/>
      <c r="E195" s="137" t="s">
        <v>195</v>
      </c>
      <c r="F195" s="173"/>
      <c r="G195" s="124"/>
      <c r="H195" s="124"/>
      <c r="I195" s="137">
        <v>10759350190</v>
      </c>
      <c r="J195" s="119"/>
      <c r="K195" s="155"/>
      <c r="N195" s="120"/>
      <c r="O195" s="60"/>
    </row>
    <row r="196" spans="1:15" x14ac:dyDescent="0.25">
      <c r="A196" s="134" t="s">
        <v>276</v>
      </c>
      <c r="B196" s="121" t="s">
        <v>197</v>
      </c>
      <c r="C196" s="137"/>
      <c r="D196" s="137"/>
      <c r="E196" s="137" t="s">
        <v>198</v>
      </c>
      <c r="F196" s="173"/>
      <c r="G196" s="124"/>
      <c r="H196" s="124"/>
      <c r="I196" s="122">
        <v>5117208922</v>
      </c>
      <c r="J196" s="119"/>
      <c r="K196" s="155"/>
      <c r="N196" s="120"/>
      <c r="O196" s="60"/>
    </row>
    <row r="197" spans="1:15" x14ac:dyDescent="0.25">
      <c r="A197" s="134" t="s">
        <v>277</v>
      </c>
      <c r="B197" s="121" t="s">
        <v>200</v>
      </c>
      <c r="C197" s="137"/>
      <c r="D197" s="137"/>
      <c r="E197" s="137" t="s">
        <v>198</v>
      </c>
      <c r="F197" s="173"/>
      <c r="G197" s="124"/>
      <c r="H197" s="124"/>
      <c r="I197" s="122">
        <v>5117291922</v>
      </c>
      <c r="J197" s="119"/>
      <c r="K197" s="155"/>
      <c r="N197" s="120"/>
      <c r="O197" s="60"/>
    </row>
    <row r="198" spans="1:15" x14ac:dyDescent="0.25">
      <c r="A198" s="134" t="s">
        <v>278</v>
      </c>
      <c r="B198" s="135" t="s">
        <v>538</v>
      </c>
      <c r="C198" s="137">
        <v>2000</v>
      </c>
      <c r="D198" s="137">
        <v>10</v>
      </c>
      <c r="E198" s="137">
        <v>200</v>
      </c>
      <c r="F198" s="173">
        <v>47.21</v>
      </c>
      <c r="G198" s="124">
        <f t="shared" si="6"/>
        <v>472.1</v>
      </c>
      <c r="H198" s="124">
        <f t="shared" si="7"/>
        <v>495.71</v>
      </c>
      <c r="I198" s="137">
        <v>4399803190</v>
      </c>
      <c r="J198" s="119"/>
      <c r="K198" s="155"/>
      <c r="N198" s="120"/>
      <c r="O198" s="60"/>
    </row>
    <row r="199" spans="1:15" x14ac:dyDescent="0.25">
      <c r="A199" s="134" t="s">
        <v>279</v>
      </c>
      <c r="B199" s="121" t="s">
        <v>274</v>
      </c>
      <c r="C199" s="137"/>
      <c r="D199" s="137">
        <v>1</v>
      </c>
      <c r="E199" s="137" t="s">
        <v>275</v>
      </c>
      <c r="F199" s="173">
        <v>50.68</v>
      </c>
      <c r="G199" s="124">
        <f t="shared" si="6"/>
        <v>50.68</v>
      </c>
      <c r="H199" s="124">
        <f t="shared" si="7"/>
        <v>53.21</v>
      </c>
      <c r="I199" s="137">
        <v>12172623122</v>
      </c>
      <c r="J199" s="119"/>
      <c r="K199" s="155"/>
      <c r="N199" s="120"/>
      <c r="O199" s="60"/>
    </row>
    <row r="200" spans="1:15" x14ac:dyDescent="0.25">
      <c r="A200" s="134" t="s">
        <v>280</v>
      </c>
      <c r="B200" s="121" t="s">
        <v>197</v>
      </c>
      <c r="C200" s="137"/>
      <c r="D200" s="137"/>
      <c r="E200" s="137" t="s">
        <v>198</v>
      </c>
      <c r="F200" s="173"/>
      <c r="G200" s="124"/>
      <c r="H200" s="124"/>
      <c r="I200" s="122">
        <v>5117208922</v>
      </c>
      <c r="J200" s="119"/>
      <c r="K200" s="155"/>
      <c r="N200" s="120"/>
      <c r="O200" s="60"/>
    </row>
    <row r="201" spans="1:15" x14ac:dyDescent="0.25">
      <c r="A201" s="134" t="s">
        <v>281</v>
      </c>
      <c r="B201" s="121" t="s">
        <v>200</v>
      </c>
      <c r="C201" s="137"/>
      <c r="D201" s="137"/>
      <c r="E201" s="137" t="s">
        <v>198</v>
      </c>
      <c r="F201" s="173"/>
      <c r="G201" s="124"/>
      <c r="H201" s="124"/>
      <c r="I201" s="122">
        <v>5117291922</v>
      </c>
      <c r="J201" s="119"/>
      <c r="K201" s="155"/>
      <c r="N201" s="120"/>
      <c r="O201" s="60"/>
    </row>
    <row r="202" spans="1:15" ht="25.5" x14ac:dyDescent="0.25">
      <c r="A202" s="145" t="s">
        <v>282</v>
      </c>
      <c r="B202" s="140" t="s">
        <v>539</v>
      </c>
      <c r="C202" s="137">
        <v>1800</v>
      </c>
      <c r="D202" s="137">
        <v>9</v>
      </c>
      <c r="E202" s="137">
        <v>200</v>
      </c>
      <c r="F202" s="173">
        <v>121.5</v>
      </c>
      <c r="G202" s="124">
        <f t="shared" si="6"/>
        <v>1093.5</v>
      </c>
      <c r="H202" s="124">
        <f t="shared" si="7"/>
        <v>1148.18</v>
      </c>
      <c r="I202" s="137">
        <v>7005717190</v>
      </c>
      <c r="J202" s="123"/>
      <c r="K202" s="155"/>
      <c r="N202" s="120"/>
      <c r="O202" s="60"/>
    </row>
    <row r="203" spans="1:15" x14ac:dyDescent="0.25">
      <c r="A203" s="134" t="s">
        <v>465</v>
      </c>
      <c r="B203" s="121" t="s">
        <v>274</v>
      </c>
      <c r="C203" s="137"/>
      <c r="D203" s="137"/>
      <c r="E203" s="137" t="s">
        <v>275</v>
      </c>
      <c r="F203" s="173"/>
      <c r="G203" s="124"/>
      <c r="H203" s="124"/>
      <c r="I203" s="137">
        <v>12172623122</v>
      </c>
      <c r="J203" s="119"/>
      <c r="K203" s="155"/>
      <c r="N203" s="120"/>
      <c r="O203" s="60"/>
    </row>
    <row r="204" spans="1:15" x14ac:dyDescent="0.25">
      <c r="A204" s="134" t="s">
        <v>467</v>
      </c>
      <c r="B204" s="121" t="s">
        <v>197</v>
      </c>
      <c r="C204" s="137"/>
      <c r="D204" s="137"/>
      <c r="E204" s="137" t="s">
        <v>198</v>
      </c>
      <c r="F204" s="173"/>
      <c r="G204" s="124"/>
      <c r="H204" s="124"/>
      <c r="I204" s="122">
        <v>5117208922</v>
      </c>
      <c r="J204" s="119"/>
      <c r="K204" s="155"/>
      <c r="N204" s="120"/>
      <c r="O204" s="60"/>
    </row>
    <row r="205" spans="1:15" x14ac:dyDescent="0.25">
      <c r="A205" s="134" t="s">
        <v>540</v>
      </c>
      <c r="B205" s="121" t="s">
        <v>200</v>
      </c>
      <c r="C205" s="137"/>
      <c r="D205" s="137"/>
      <c r="E205" s="137" t="s">
        <v>198</v>
      </c>
      <c r="F205" s="173"/>
      <c r="G205" s="124"/>
      <c r="H205" s="124"/>
      <c r="I205" s="122">
        <v>5117291922</v>
      </c>
      <c r="J205" s="119"/>
      <c r="K205" s="155"/>
      <c r="N205" s="120"/>
      <c r="O205" s="60"/>
    </row>
    <row r="206" spans="1:15" x14ac:dyDescent="0.25">
      <c r="A206" s="134" t="s">
        <v>284</v>
      </c>
      <c r="B206" s="135" t="s">
        <v>541</v>
      </c>
      <c r="C206" s="137">
        <v>22000</v>
      </c>
      <c r="D206" s="137">
        <v>2</v>
      </c>
      <c r="E206" s="137" t="s">
        <v>283</v>
      </c>
      <c r="F206" s="173">
        <v>194.98</v>
      </c>
      <c r="G206" s="124">
        <f t="shared" si="6"/>
        <v>389.96</v>
      </c>
      <c r="H206" s="124">
        <f t="shared" si="7"/>
        <v>409.46</v>
      </c>
      <c r="I206" s="137">
        <v>10825441001</v>
      </c>
      <c r="J206" s="119"/>
      <c r="K206" s="155"/>
      <c r="N206" s="120"/>
      <c r="O206" s="60"/>
    </row>
    <row r="207" spans="1:15" x14ac:dyDescent="0.25">
      <c r="A207" s="134" t="s">
        <v>285</v>
      </c>
      <c r="B207" s="135" t="s">
        <v>542</v>
      </c>
      <c r="C207" s="137">
        <v>22000</v>
      </c>
      <c r="D207" s="137">
        <v>2</v>
      </c>
      <c r="E207" s="137" t="s">
        <v>283</v>
      </c>
      <c r="F207" s="173">
        <v>222.84</v>
      </c>
      <c r="G207" s="124">
        <f t="shared" si="6"/>
        <v>445.68</v>
      </c>
      <c r="H207" s="124">
        <f t="shared" si="7"/>
        <v>467.96</v>
      </c>
      <c r="I207" s="137">
        <v>10825468001</v>
      </c>
      <c r="J207" s="119"/>
      <c r="K207" s="155"/>
      <c r="N207" s="120"/>
      <c r="O207" s="60"/>
    </row>
    <row r="208" spans="1:15" x14ac:dyDescent="0.25">
      <c r="A208" s="134" t="s">
        <v>286</v>
      </c>
      <c r="B208" s="135" t="s">
        <v>543</v>
      </c>
      <c r="C208" s="137">
        <v>5000</v>
      </c>
      <c r="D208" s="137">
        <v>2</v>
      </c>
      <c r="E208" s="137" t="s">
        <v>283</v>
      </c>
      <c r="F208" s="173">
        <v>275.86</v>
      </c>
      <c r="G208" s="124">
        <f t="shared" si="6"/>
        <v>551.72</v>
      </c>
      <c r="H208" s="124">
        <f t="shared" si="7"/>
        <v>579.30999999999995</v>
      </c>
      <c r="I208" s="137">
        <v>3246353001</v>
      </c>
      <c r="J208" s="119"/>
      <c r="K208" s="155"/>
      <c r="N208" s="120"/>
      <c r="O208" s="60"/>
    </row>
    <row r="209" spans="1:15" x14ac:dyDescent="0.25">
      <c r="A209" s="134" t="s">
        <v>289</v>
      </c>
      <c r="B209" s="135" t="s">
        <v>544</v>
      </c>
      <c r="C209" s="137">
        <v>3700</v>
      </c>
      <c r="D209" s="137">
        <v>12</v>
      </c>
      <c r="E209" s="137">
        <v>300</v>
      </c>
      <c r="F209" s="173">
        <v>19.420000000000002</v>
      </c>
      <c r="G209" s="124">
        <f t="shared" si="6"/>
        <v>233.04000000000002</v>
      </c>
      <c r="H209" s="124">
        <f t="shared" si="7"/>
        <v>244.69</v>
      </c>
      <c r="I209" s="137">
        <v>5061482190</v>
      </c>
      <c r="J209" s="119"/>
      <c r="K209" s="155"/>
      <c r="N209" s="120"/>
      <c r="O209" s="60"/>
    </row>
    <row r="210" spans="1:15" x14ac:dyDescent="0.25">
      <c r="A210" s="134" t="s">
        <v>290</v>
      </c>
      <c r="B210" s="121" t="s">
        <v>194</v>
      </c>
      <c r="C210" s="137"/>
      <c r="D210" s="137"/>
      <c r="E210" s="137" t="s">
        <v>195</v>
      </c>
      <c r="F210" s="173"/>
      <c r="G210" s="124"/>
      <c r="H210" s="124"/>
      <c r="I210" s="137">
        <v>10759350190</v>
      </c>
      <c r="J210" s="119"/>
      <c r="K210" s="155"/>
      <c r="N210" s="120"/>
      <c r="O210" s="60"/>
    </row>
    <row r="211" spans="1:15" x14ac:dyDescent="0.25">
      <c r="A211" s="134" t="s">
        <v>291</v>
      </c>
      <c r="B211" s="121" t="s">
        <v>197</v>
      </c>
      <c r="C211" s="137"/>
      <c r="D211" s="137"/>
      <c r="E211" s="137" t="s">
        <v>198</v>
      </c>
      <c r="F211" s="173"/>
      <c r="G211" s="124"/>
      <c r="H211" s="124"/>
      <c r="I211" s="122">
        <v>5117208922</v>
      </c>
      <c r="J211" s="119"/>
      <c r="K211" s="155"/>
      <c r="N211" s="120"/>
      <c r="O211" s="60"/>
    </row>
    <row r="212" spans="1:15" x14ac:dyDescent="0.25">
      <c r="A212" s="134" t="s">
        <v>292</v>
      </c>
      <c r="B212" s="121" t="s">
        <v>200</v>
      </c>
      <c r="C212" s="137"/>
      <c r="D212" s="137"/>
      <c r="E212" s="137" t="s">
        <v>198</v>
      </c>
      <c r="F212" s="173"/>
      <c r="G212" s="124"/>
      <c r="H212" s="124"/>
      <c r="I212" s="122">
        <v>5117291922</v>
      </c>
      <c r="J212" s="119"/>
      <c r="K212" s="155"/>
      <c r="N212" s="120"/>
      <c r="O212" s="60"/>
    </row>
    <row r="213" spans="1:15" x14ac:dyDescent="0.25">
      <c r="A213" s="134" t="s">
        <v>293</v>
      </c>
      <c r="B213" s="135" t="s">
        <v>545</v>
      </c>
      <c r="C213" s="137">
        <v>100</v>
      </c>
      <c r="D213" s="137">
        <v>1</v>
      </c>
      <c r="E213" s="137">
        <v>300</v>
      </c>
      <c r="F213" s="173">
        <v>19.420000000000002</v>
      </c>
      <c r="G213" s="124">
        <f t="shared" si="6"/>
        <v>19.420000000000002</v>
      </c>
      <c r="H213" s="124">
        <f t="shared" si="7"/>
        <v>20.39</v>
      </c>
      <c r="I213" s="137">
        <v>5061482190</v>
      </c>
      <c r="J213" s="119"/>
      <c r="K213" s="155"/>
      <c r="N213" s="120"/>
      <c r="O213" s="60"/>
    </row>
    <row r="214" spans="1:15" x14ac:dyDescent="0.25">
      <c r="A214" s="134" t="s">
        <v>294</v>
      </c>
      <c r="B214" s="121" t="s">
        <v>194</v>
      </c>
      <c r="C214" s="137"/>
      <c r="D214" s="137"/>
      <c r="E214" s="137" t="s">
        <v>195</v>
      </c>
      <c r="F214" s="173"/>
      <c r="G214" s="124"/>
      <c r="H214" s="124"/>
      <c r="I214" s="137">
        <v>10759350190</v>
      </c>
      <c r="J214" s="119"/>
      <c r="K214" s="155"/>
      <c r="N214" s="120"/>
      <c r="O214" s="60"/>
    </row>
    <row r="215" spans="1:15" x14ac:dyDescent="0.25">
      <c r="A215" s="134" t="s">
        <v>295</v>
      </c>
      <c r="B215" s="121" t="s">
        <v>197</v>
      </c>
      <c r="C215" s="137"/>
      <c r="D215" s="137"/>
      <c r="E215" s="137" t="s">
        <v>198</v>
      </c>
      <c r="F215" s="173"/>
      <c r="G215" s="124"/>
      <c r="H215" s="124"/>
      <c r="I215" s="122">
        <v>5117208922</v>
      </c>
      <c r="J215" s="119"/>
      <c r="K215" s="155"/>
      <c r="N215" s="120"/>
      <c r="O215" s="60"/>
    </row>
    <row r="216" spans="1:15" x14ac:dyDescent="0.25">
      <c r="A216" s="134" t="s">
        <v>296</v>
      </c>
      <c r="B216" s="121" t="s">
        <v>200</v>
      </c>
      <c r="C216" s="137"/>
      <c r="D216" s="137"/>
      <c r="E216" s="137" t="s">
        <v>198</v>
      </c>
      <c r="F216" s="173"/>
      <c r="G216" s="124"/>
      <c r="H216" s="124"/>
      <c r="I216" s="122">
        <v>5117291922</v>
      </c>
      <c r="J216" s="119"/>
      <c r="K216" s="155"/>
      <c r="N216" s="120"/>
      <c r="O216" s="60"/>
    </row>
    <row r="217" spans="1:15" x14ac:dyDescent="0.25">
      <c r="A217" s="134" t="s">
        <v>297</v>
      </c>
      <c r="B217" s="135" t="s">
        <v>546</v>
      </c>
      <c r="C217" s="137">
        <v>1200</v>
      </c>
      <c r="D217" s="137">
        <v>5</v>
      </c>
      <c r="E217" s="137">
        <v>250</v>
      </c>
      <c r="F217" s="173">
        <v>50.64</v>
      </c>
      <c r="G217" s="124">
        <f t="shared" si="6"/>
        <v>253.2</v>
      </c>
      <c r="H217" s="124">
        <f t="shared" si="7"/>
        <v>265.86</v>
      </c>
      <c r="I217" s="137">
        <v>6481647190</v>
      </c>
      <c r="J217" s="119"/>
      <c r="K217" s="155"/>
      <c r="N217" s="120"/>
      <c r="O217" s="60"/>
    </row>
    <row r="218" spans="1:15" x14ac:dyDescent="0.25">
      <c r="A218" s="134" t="s">
        <v>299</v>
      </c>
      <c r="B218" s="121" t="s">
        <v>194</v>
      </c>
      <c r="C218" s="137"/>
      <c r="D218" s="137"/>
      <c r="E218" s="137" t="s">
        <v>195</v>
      </c>
      <c r="F218" s="173"/>
      <c r="G218" s="124"/>
      <c r="H218" s="124"/>
      <c r="I218" s="137">
        <v>10759350190</v>
      </c>
      <c r="J218" s="119"/>
      <c r="K218" s="155"/>
      <c r="N218" s="120"/>
      <c r="O218" s="60"/>
    </row>
    <row r="219" spans="1:15" x14ac:dyDescent="0.25">
      <c r="A219" s="134" t="s">
        <v>300</v>
      </c>
      <c r="B219" s="121" t="s">
        <v>197</v>
      </c>
      <c r="C219" s="137"/>
      <c r="D219" s="137"/>
      <c r="E219" s="137" t="s">
        <v>198</v>
      </c>
      <c r="F219" s="173"/>
      <c r="G219" s="124"/>
      <c r="H219" s="124"/>
      <c r="I219" s="122">
        <v>5117208922</v>
      </c>
      <c r="J219" s="119"/>
      <c r="K219" s="155"/>
      <c r="N219" s="120"/>
      <c r="O219" s="60"/>
    </row>
    <row r="220" spans="1:15" x14ac:dyDescent="0.25">
      <c r="A220" s="134" t="s">
        <v>301</v>
      </c>
      <c r="B220" s="121" t="s">
        <v>200</v>
      </c>
      <c r="C220" s="137"/>
      <c r="D220" s="137"/>
      <c r="E220" s="137" t="s">
        <v>198</v>
      </c>
      <c r="F220" s="173"/>
      <c r="G220" s="124"/>
      <c r="H220" s="124"/>
      <c r="I220" s="122">
        <v>5117291922</v>
      </c>
      <c r="J220" s="119"/>
      <c r="K220" s="155"/>
      <c r="N220" s="120"/>
      <c r="O220" s="60"/>
    </row>
    <row r="221" spans="1:15" x14ac:dyDescent="0.25">
      <c r="A221" s="134" t="s">
        <v>302</v>
      </c>
      <c r="B221" s="135" t="s">
        <v>547</v>
      </c>
      <c r="C221" s="137">
        <v>1600</v>
      </c>
      <c r="D221" s="137">
        <v>8</v>
      </c>
      <c r="E221" s="137">
        <v>200</v>
      </c>
      <c r="F221" s="173">
        <v>22.42</v>
      </c>
      <c r="G221" s="124">
        <f t="shared" si="6"/>
        <v>179.36</v>
      </c>
      <c r="H221" s="124">
        <f t="shared" si="7"/>
        <v>188.33</v>
      </c>
      <c r="I221" s="137">
        <v>3183696122</v>
      </c>
      <c r="J221" s="119"/>
      <c r="K221" s="155"/>
      <c r="N221" s="120"/>
      <c r="O221" s="60"/>
    </row>
    <row r="222" spans="1:15" x14ac:dyDescent="0.25">
      <c r="A222" s="134" t="s">
        <v>304</v>
      </c>
      <c r="B222" s="121" t="s">
        <v>194</v>
      </c>
      <c r="C222" s="137"/>
      <c r="D222" s="137"/>
      <c r="E222" s="137" t="s">
        <v>195</v>
      </c>
      <c r="F222" s="173"/>
      <c r="G222" s="124"/>
      <c r="H222" s="124"/>
      <c r="I222" s="137">
        <v>10759350190</v>
      </c>
      <c r="J222" s="119"/>
      <c r="K222" s="155"/>
      <c r="N222" s="120"/>
      <c r="O222" s="60"/>
    </row>
    <row r="223" spans="1:15" x14ac:dyDescent="0.25">
      <c r="A223" s="134" t="s">
        <v>307</v>
      </c>
      <c r="B223" s="121" t="s">
        <v>197</v>
      </c>
      <c r="C223" s="137"/>
      <c r="D223" s="137"/>
      <c r="E223" s="137" t="s">
        <v>198</v>
      </c>
      <c r="F223" s="173"/>
      <c r="G223" s="124"/>
      <c r="H223" s="124"/>
      <c r="I223" s="122">
        <v>5117208922</v>
      </c>
      <c r="J223" s="119"/>
      <c r="K223" s="155"/>
      <c r="N223" s="120"/>
      <c r="O223" s="60"/>
    </row>
    <row r="224" spans="1:15" x14ac:dyDescent="0.25">
      <c r="A224" s="134" t="s">
        <v>310</v>
      </c>
      <c r="B224" s="121" t="s">
        <v>200</v>
      </c>
      <c r="C224" s="137"/>
      <c r="D224" s="137"/>
      <c r="E224" s="137" t="s">
        <v>198</v>
      </c>
      <c r="F224" s="173"/>
      <c r="G224" s="124"/>
      <c r="H224" s="124"/>
      <c r="I224" s="122">
        <v>5117291922</v>
      </c>
      <c r="J224" s="119"/>
      <c r="K224" s="155"/>
      <c r="N224" s="120"/>
      <c r="O224" s="60"/>
    </row>
    <row r="225" spans="1:15" x14ac:dyDescent="0.25">
      <c r="A225" s="134" t="s">
        <v>314</v>
      </c>
      <c r="B225" s="135" t="s">
        <v>298</v>
      </c>
      <c r="C225" s="137">
        <v>1500</v>
      </c>
      <c r="D225" s="137">
        <v>6</v>
      </c>
      <c r="E225" s="137">
        <v>250</v>
      </c>
      <c r="F225" s="173">
        <v>12.36</v>
      </c>
      <c r="G225" s="124">
        <f t="shared" si="6"/>
        <v>74.16</v>
      </c>
      <c r="H225" s="124">
        <f t="shared" si="7"/>
        <v>77.87</v>
      </c>
      <c r="I225" s="137">
        <v>3183793122</v>
      </c>
      <c r="J225" s="119"/>
      <c r="K225" s="155"/>
      <c r="N225" s="120"/>
      <c r="O225" s="60"/>
    </row>
    <row r="226" spans="1:15" x14ac:dyDescent="0.25">
      <c r="A226" s="134" t="s">
        <v>316</v>
      </c>
      <c r="B226" s="121" t="s">
        <v>194</v>
      </c>
      <c r="C226" s="137"/>
      <c r="D226" s="137"/>
      <c r="E226" s="137" t="s">
        <v>195</v>
      </c>
      <c r="F226" s="173"/>
      <c r="G226" s="124"/>
      <c r="H226" s="124"/>
      <c r="I226" s="137">
        <v>10759350190</v>
      </c>
      <c r="J226" s="119"/>
      <c r="K226" s="155"/>
      <c r="N226" s="120"/>
      <c r="O226" s="60"/>
    </row>
    <row r="227" spans="1:15" x14ac:dyDescent="0.25">
      <c r="A227" s="134" t="s">
        <v>318</v>
      </c>
      <c r="B227" s="121" t="s">
        <v>197</v>
      </c>
      <c r="C227" s="137"/>
      <c r="D227" s="137"/>
      <c r="E227" s="137" t="s">
        <v>198</v>
      </c>
      <c r="F227" s="173"/>
      <c r="G227" s="124"/>
      <c r="H227" s="124"/>
      <c r="I227" s="122">
        <v>5117208922</v>
      </c>
      <c r="J227" s="119"/>
      <c r="K227" s="155"/>
      <c r="N227" s="120"/>
      <c r="O227" s="60"/>
    </row>
    <row r="228" spans="1:15" x14ac:dyDescent="0.25">
      <c r="A228" s="134" t="s">
        <v>548</v>
      </c>
      <c r="B228" s="121" t="s">
        <v>200</v>
      </c>
      <c r="C228" s="137"/>
      <c r="D228" s="137"/>
      <c r="E228" s="137" t="s">
        <v>198</v>
      </c>
      <c r="F228" s="173"/>
      <c r="G228" s="124"/>
      <c r="H228" s="124"/>
      <c r="I228" s="122">
        <v>5117291922</v>
      </c>
      <c r="J228" s="119"/>
      <c r="K228" s="155"/>
      <c r="N228" s="120"/>
      <c r="O228" s="60"/>
    </row>
    <row r="229" spans="1:15" x14ac:dyDescent="0.25">
      <c r="A229" s="134" t="s">
        <v>320</v>
      </c>
      <c r="B229" s="135" t="s">
        <v>303</v>
      </c>
      <c r="C229" s="137">
        <v>3000</v>
      </c>
      <c r="D229" s="137">
        <v>20</v>
      </c>
      <c r="E229" s="137">
        <v>150</v>
      </c>
      <c r="F229" s="173">
        <v>140.75</v>
      </c>
      <c r="G229" s="124">
        <f t="shared" si="6"/>
        <v>2815</v>
      </c>
      <c r="H229" s="124">
        <f t="shared" si="7"/>
        <v>2955.75</v>
      </c>
      <c r="I229" s="137">
        <v>5336163190</v>
      </c>
      <c r="J229" s="119"/>
      <c r="K229" s="155"/>
      <c r="N229" s="120"/>
      <c r="O229" s="60"/>
    </row>
    <row r="230" spans="1:15" x14ac:dyDescent="0.25">
      <c r="A230" s="134" t="s">
        <v>321</v>
      </c>
      <c r="B230" s="121" t="s">
        <v>305</v>
      </c>
      <c r="C230" s="137"/>
      <c r="D230" s="137">
        <v>2</v>
      </c>
      <c r="E230" s="137" t="s">
        <v>306</v>
      </c>
      <c r="F230" s="173">
        <v>115.85</v>
      </c>
      <c r="G230" s="124">
        <f t="shared" si="6"/>
        <v>231.7</v>
      </c>
      <c r="H230" s="124">
        <f t="shared" si="7"/>
        <v>243.29</v>
      </c>
      <c r="I230" s="137">
        <v>4528417190</v>
      </c>
      <c r="J230" s="119"/>
      <c r="K230" s="155"/>
      <c r="N230" s="120"/>
      <c r="O230" s="60"/>
    </row>
    <row r="231" spans="1:15" x14ac:dyDescent="0.25">
      <c r="A231" s="134" t="s">
        <v>322</v>
      </c>
      <c r="B231" s="121" t="s">
        <v>308</v>
      </c>
      <c r="C231" s="137"/>
      <c r="D231" s="137">
        <v>1</v>
      </c>
      <c r="E231" s="137" t="s">
        <v>309</v>
      </c>
      <c r="F231" s="173">
        <v>99.05</v>
      </c>
      <c r="G231" s="124">
        <f t="shared" si="6"/>
        <v>99.05</v>
      </c>
      <c r="H231" s="124">
        <f t="shared" si="7"/>
        <v>104</v>
      </c>
      <c r="I231" s="137">
        <v>5479207190</v>
      </c>
      <c r="J231" s="119"/>
      <c r="K231" s="155"/>
      <c r="N231" s="120"/>
      <c r="O231" s="60"/>
    </row>
    <row r="232" spans="1:15" x14ac:dyDescent="0.25">
      <c r="A232" s="134" t="s">
        <v>323</v>
      </c>
      <c r="B232" s="121" t="s">
        <v>311</v>
      </c>
      <c r="C232" s="137"/>
      <c r="D232" s="137">
        <v>1</v>
      </c>
      <c r="E232" s="137" t="s">
        <v>309</v>
      </c>
      <c r="F232" s="173">
        <v>99.05</v>
      </c>
      <c r="G232" s="124">
        <f t="shared" si="6"/>
        <v>99.05</v>
      </c>
      <c r="H232" s="124">
        <f t="shared" si="7"/>
        <v>104</v>
      </c>
      <c r="I232" s="137">
        <v>5912504190</v>
      </c>
      <c r="J232" s="119"/>
      <c r="K232" s="155"/>
      <c r="N232" s="120"/>
      <c r="O232" s="60"/>
    </row>
    <row r="233" spans="1:15" x14ac:dyDescent="0.25">
      <c r="A233" s="134" t="s">
        <v>549</v>
      </c>
      <c r="B233" s="121" t="s">
        <v>312</v>
      </c>
      <c r="C233" s="137"/>
      <c r="D233" s="137">
        <v>2</v>
      </c>
      <c r="E233" s="137" t="s">
        <v>313</v>
      </c>
      <c r="F233" s="173">
        <v>40.549999999999997</v>
      </c>
      <c r="G233" s="124">
        <f t="shared" si="6"/>
        <v>81.099999999999994</v>
      </c>
      <c r="H233" s="124">
        <f t="shared" si="7"/>
        <v>85.16</v>
      </c>
      <c r="I233" s="137">
        <v>4528182190</v>
      </c>
      <c r="J233" s="119"/>
      <c r="K233" s="155"/>
      <c r="N233" s="120"/>
      <c r="O233" s="60"/>
    </row>
    <row r="234" spans="1:15" x14ac:dyDescent="0.25">
      <c r="A234" s="134" t="s">
        <v>324</v>
      </c>
      <c r="B234" s="135" t="s">
        <v>550</v>
      </c>
      <c r="C234" s="137">
        <v>100</v>
      </c>
      <c r="D234" s="137">
        <v>1</v>
      </c>
      <c r="E234" s="137">
        <v>100</v>
      </c>
      <c r="F234" s="173">
        <v>70.44</v>
      </c>
      <c r="G234" s="124">
        <f t="shared" si="6"/>
        <v>70.44</v>
      </c>
      <c r="H234" s="124">
        <f t="shared" si="7"/>
        <v>73.959999999999994</v>
      </c>
      <c r="I234" s="137">
        <v>3015050122</v>
      </c>
      <c r="J234" s="119"/>
      <c r="K234" s="155"/>
      <c r="N234" s="120"/>
      <c r="O234" s="60"/>
    </row>
    <row r="235" spans="1:15" x14ac:dyDescent="0.25">
      <c r="A235" s="134" t="s">
        <v>325</v>
      </c>
      <c r="B235" s="121" t="s">
        <v>194</v>
      </c>
      <c r="C235" s="137"/>
      <c r="D235" s="137"/>
      <c r="E235" s="137" t="s">
        <v>195</v>
      </c>
      <c r="F235" s="173"/>
      <c r="G235" s="124"/>
      <c r="H235" s="124"/>
      <c r="I235" s="137">
        <v>10759350190</v>
      </c>
      <c r="J235" s="119"/>
      <c r="K235" s="155"/>
      <c r="N235" s="120"/>
      <c r="O235" s="60"/>
    </row>
    <row r="236" spans="1:15" x14ac:dyDescent="0.25">
      <c r="A236" s="134" t="s">
        <v>326</v>
      </c>
      <c r="B236" s="121" t="s">
        <v>197</v>
      </c>
      <c r="C236" s="137"/>
      <c r="D236" s="137"/>
      <c r="E236" s="137" t="s">
        <v>198</v>
      </c>
      <c r="F236" s="173"/>
      <c r="G236" s="124"/>
      <c r="H236" s="124"/>
      <c r="I236" s="122">
        <v>5117208922</v>
      </c>
      <c r="J236" s="119"/>
      <c r="K236" s="155"/>
      <c r="N236" s="120"/>
      <c r="O236" s="60"/>
    </row>
    <row r="237" spans="1:15" x14ac:dyDescent="0.25">
      <c r="A237" s="134" t="s">
        <v>327</v>
      </c>
      <c r="B237" s="121" t="s">
        <v>200</v>
      </c>
      <c r="C237" s="137"/>
      <c r="D237" s="137"/>
      <c r="E237" s="137" t="s">
        <v>198</v>
      </c>
      <c r="F237" s="173"/>
      <c r="G237" s="124"/>
      <c r="H237" s="124"/>
      <c r="I237" s="122">
        <v>5117291922</v>
      </c>
      <c r="J237" s="119"/>
      <c r="K237" s="155"/>
      <c r="N237" s="120"/>
      <c r="O237" s="60"/>
    </row>
    <row r="238" spans="1:15" x14ac:dyDescent="0.25">
      <c r="A238" s="145" t="s">
        <v>328</v>
      </c>
      <c r="B238" s="140" t="s">
        <v>551</v>
      </c>
      <c r="C238" s="137">
        <v>8000</v>
      </c>
      <c r="D238" s="137">
        <v>27</v>
      </c>
      <c r="E238" s="137">
        <v>300</v>
      </c>
      <c r="F238" s="173">
        <v>190</v>
      </c>
      <c r="G238" s="124">
        <f t="shared" si="6"/>
        <v>5130</v>
      </c>
      <c r="H238" s="124">
        <f t="shared" si="7"/>
        <v>5386.5</v>
      </c>
      <c r="I238" s="137">
        <v>4628918190</v>
      </c>
      <c r="J238" s="123"/>
      <c r="K238" s="155"/>
      <c r="N238" s="120"/>
      <c r="O238" s="60"/>
    </row>
    <row r="239" spans="1:15" x14ac:dyDescent="0.25">
      <c r="A239" s="134" t="s">
        <v>330</v>
      </c>
      <c r="B239" s="121" t="s">
        <v>211</v>
      </c>
      <c r="C239" s="137"/>
      <c r="D239" s="137">
        <v>1</v>
      </c>
      <c r="E239" s="137" t="s">
        <v>203</v>
      </c>
      <c r="F239" s="173">
        <v>125.64</v>
      </c>
      <c r="G239" s="124">
        <f t="shared" si="6"/>
        <v>125.64</v>
      </c>
      <c r="H239" s="124">
        <f t="shared" si="7"/>
        <v>131.91999999999999</v>
      </c>
      <c r="I239" s="137">
        <v>11355279216</v>
      </c>
      <c r="J239" s="119"/>
      <c r="K239" s="155"/>
      <c r="N239" s="120"/>
      <c r="O239" s="60"/>
    </row>
    <row r="240" spans="1:15" x14ac:dyDescent="0.25">
      <c r="A240" s="134" t="s">
        <v>332</v>
      </c>
      <c r="B240" s="121" t="s">
        <v>197</v>
      </c>
      <c r="C240" s="137"/>
      <c r="D240" s="137"/>
      <c r="E240" s="137" t="s">
        <v>198</v>
      </c>
      <c r="F240" s="173"/>
      <c r="G240" s="124"/>
      <c r="H240" s="124"/>
      <c r="I240" s="122">
        <v>5117208922</v>
      </c>
      <c r="J240" s="119"/>
      <c r="K240" s="155"/>
      <c r="N240" s="120"/>
      <c r="O240" s="60"/>
    </row>
    <row r="241" spans="1:15" x14ac:dyDescent="0.25">
      <c r="A241" s="134" t="s">
        <v>333</v>
      </c>
      <c r="B241" s="121" t="s">
        <v>200</v>
      </c>
      <c r="C241" s="137"/>
      <c r="D241" s="137"/>
      <c r="E241" s="137" t="s">
        <v>198</v>
      </c>
      <c r="F241" s="173"/>
      <c r="G241" s="124"/>
      <c r="H241" s="124"/>
      <c r="I241" s="122">
        <v>5117291922</v>
      </c>
      <c r="J241" s="119"/>
      <c r="K241" s="155"/>
      <c r="N241" s="120"/>
      <c r="O241" s="60"/>
    </row>
    <row r="242" spans="1:15" x14ac:dyDescent="0.25">
      <c r="A242" s="134" t="s">
        <v>334</v>
      </c>
      <c r="B242" s="135" t="s">
        <v>315</v>
      </c>
      <c r="C242" s="137">
        <v>100</v>
      </c>
      <c r="D242" s="137">
        <v>1</v>
      </c>
      <c r="E242" s="137">
        <v>100</v>
      </c>
      <c r="F242" s="173">
        <v>64.86</v>
      </c>
      <c r="G242" s="124">
        <f t="shared" si="6"/>
        <v>64.86</v>
      </c>
      <c r="H242" s="124">
        <f t="shared" si="7"/>
        <v>68.099999999999994</v>
      </c>
      <c r="I242" s="137">
        <v>20764574322</v>
      </c>
      <c r="J242" s="119"/>
      <c r="K242" s="155"/>
      <c r="N242" s="120"/>
      <c r="O242" s="60"/>
    </row>
    <row r="243" spans="1:15" x14ac:dyDescent="0.25">
      <c r="A243" s="134" t="s">
        <v>336</v>
      </c>
      <c r="B243" s="121" t="s">
        <v>317</v>
      </c>
      <c r="C243" s="137"/>
      <c r="D243" s="137">
        <v>1</v>
      </c>
      <c r="E243" s="137" t="s">
        <v>203</v>
      </c>
      <c r="F243" s="173">
        <v>49.73</v>
      </c>
      <c r="G243" s="124">
        <f t="shared" si="6"/>
        <v>49.73</v>
      </c>
      <c r="H243" s="124">
        <f t="shared" si="7"/>
        <v>52.22</v>
      </c>
      <c r="I243" s="137">
        <v>12172828322</v>
      </c>
      <c r="J243" s="119"/>
      <c r="K243" s="155"/>
      <c r="N243" s="120"/>
      <c r="O243" s="60"/>
    </row>
    <row r="244" spans="1:15" x14ac:dyDescent="0.25">
      <c r="A244" s="134" t="s">
        <v>337</v>
      </c>
      <c r="B244" s="121" t="s">
        <v>319</v>
      </c>
      <c r="C244" s="137"/>
      <c r="D244" s="137">
        <v>2</v>
      </c>
      <c r="E244" s="137" t="s">
        <v>309</v>
      </c>
      <c r="F244" s="173">
        <v>78.2</v>
      </c>
      <c r="G244" s="124">
        <f t="shared" si="6"/>
        <v>156.4</v>
      </c>
      <c r="H244" s="124">
        <f t="shared" si="7"/>
        <v>164.22</v>
      </c>
      <c r="I244" s="137">
        <v>3005496122</v>
      </c>
      <c r="J244" s="119"/>
      <c r="K244" s="155"/>
      <c r="N244" s="120"/>
      <c r="O244" s="60"/>
    </row>
    <row r="245" spans="1:15" x14ac:dyDescent="0.25">
      <c r="A245" s="134" t="s">
        <v>338</v>
      </c>
      <c r="B245" s="135" t="s">
        <v>552</v>
      </c>
      <c r="C245" s="137">
        <v>1000</v>
      </c>
      <c r="D245" s="137">
        <v>10</v>
      </c>
      <c r="E245" s="137">
        <v>100</v>
      </c>
      <c r="F245" s="173">
        <v>125.71</v>
      </c>
      <c r="G245" s="124">
        <f t="shared" si="6"/>
        <v>1257.0999999999999</v>
      </c>
      <c r="H245" s="124">
        <f t="shared" si="7"/>
        <v>1319.96</v>
      </c>
      <c r="I245" s="137">
        <v>4679598190</v>
      </c>
      <c r="J245" s="119"/>
      <c r="K245" s="155"/>
      <c r="N245" s="120"/>
      <c r="O245" s="60"/>
    </row>
    <row r="246" spans="1:15" x14ac:dyDescent="0.25">
      <c r="A246" s="134" t="s">
        <v>340</v>
      </c>
      <c r="B246" s="121" t="s">
        <v>194</v>
      </c>
      <c r="C246" s="137"/>
      <c r="D246" s="137"/>
      <c r="E246" s="137" t="s">
        <v>195</v>
      </c>
      <c r="F246" s="173"/>
      <c r="G246" s="124"/>
      <c r="H246" s="124"/>
      <c r="I246" s="137">
        <v>10759350190</v>
      </c>
      <c r="J246" s="119"/>
      <c r="K246" s="155"/>
      <c r="N246" s="120"/>
      <c r="O246" s="60"/>
    </row>
    <row r="247" spans="1:15" x14ac:dyDescent="0.25">
      <c r="A247" s="134" t="s">
        <v>341</v>
      </c>
      <c r="B247" s="121" t="s">
        <v>197</v>
      </c>
      <c r="C247" s="137"/>
      <c r="D247" s="137"/>
      <c r="E247" s="137" t="s">
        <v>198</v>
      </c>
      <c r="F247" s="173"/>
      <c r="G247" s="124"/>
      <c r="H247" s="124"/>
      <c r="I247" s="122">
        <v>5117208922</v>
      </c>
      <c r="J247" s="119"/>
      <c r="K247" s="155"/>
      <c r="N247" s="120"/>
      <c r="O247" s="60"/>
    </row>
    <row r="248" spans="1:15" x14ac:dyDescent="0.25">
      <c r="A248" s="134" t="s">
        <v>342</v>
      </c>
      <c r="B248" s="121" t="s">
        <v>200</v>
      </c>
      <c r="C248" s="137"/>
      <c r="D248" s="137"/>
      <c r="E248" s="137" t="s">
        <v>198</v>
      </c>
      <c r="F248" s="173"/>
      <c r="G248" s="124"/>
      <c r="H248" s="124"/>
      <c r="I248" s="122">
        <v>5117291922</v>
      </c>
      <c r="J248" s="119"/>
      <c r="K248" s="155"/>
      <c r="N248" s="120"/>
      <c r="O248" s="60"/>
    </row>
    <row r="249" spans="1:15" x14ac:dyDescent="0.25">
      <c r="A249" s="134" t="s">
        <v>343</v>
      </c>
      <c r="B249" s="135" t="s">
        <v>553</v>
      </c>
      <c r="C249" s="137">
        <v>700</v>
      </c>
      <c r="D249" s="137">
        <v>1</v>
      </c>
      <c r="E249" s="137">
        <v>2750</v>
      </c>
      <c r="F249" s="173">
        <v>8.93</v>
      </c>
      <c r="G249" s="124">
        <f t="shared" si="6"/>
        <v>8.93</v>
      </c>
      <c r="H249" s="124">
        <f t="shared" si="7"/>
        <v>9.3800000000000008</v>
      </c>
      <c r="I249" s="137">
        <v>4489365190</v>
      </c>
      <c r="J249" s="119"/>
      <c r="K249" s="155"/>
      <c r="N249" s="120"/>
      <c r="O249" s="60"/>
    </row>
    <row r="250" spans="1:15" x14ac:dyDescent="0.25">
      <c r="A250" s="134" t="s">
        <v>344</v>
      </c>
      <c r="B250" s="135" t="s">
        <v>554</v>
      </c>
      <c r="C250" s="137">
        <v>100</v>
      </c>
      <c r="D250" s="137">
        <v>1</v>
      </c>
      <c r="E250" s="137">
        <v>100</v>
      </c>
      <c r="F250" s="173">
        <v>156.38999999999999</v>
      </c>
      <c r="G250" s="124">
        <f t="shared" si="6"/>
        <v>156.38999999999999</v>
      </c>
      <c r="H250" s="124">
        <f t="shared" si="7"/>
        <v>164.21</v>
      </c>
      <c r="I250" s="137">
        <v>4491041190</v>
      </c>
      <c r="J250" s="119"/>
      <c r="K250" s="155"/>
      <c r="N250" s="120"/>
      <c r="O250" s="60"/>
    </row>
    <row r="251" spans="1:15" x14ac:dyDescent="0.25">
      <c r="A251" s="134" t="s">
        <v>555</v>
      </c>
      <c r="B251" s="121" t="s">
        <v>556</v>
      </c>
      <c r="C251" s="137"/>
      <c r="D251" s="137">
        <v>1</v>
      </c>
      <c r="E251" s="137" t="s">
        <v>557</v>
      </c>
      <c r="F251" s="173">
        <v>246.18</v>
      </c>
      <c r="G251" s="124">
        <f t="shared" si="6"/>
        <v>246.18</v>
      </c>
      <c r="H251" s="124">
        <f t="shared" si="7"/>
        <v>258.49</v>
      </c>
      <c r="I251" s="137">
        <v>3375790190</v>
      </c>
      <c r="J251" s="119"/>
      <c r="K251" s="155"/>
      <c r="N251" s="120"/>
      <c r="O251" s="60"/>
    </row>
    <row r="252" spans="1:15" x14ac:dyDescent="0.25">
      <c r="A252" s="134" t="s">
        <v>558</v>
      </c>
      <c r="B252" s="121" t="s">
        <v>559</v>
      </c>
      <c r="C252" s="137"/>
      <c r="D252" s="137">
        <v>2</v>
      </c>
      <c r="E252" s="137" t="s">
        <v>560</v>
      </c>
      <c r="F252" s="173">
        <v>84.72</v>
      </c>
      <c r="G252" s="124">
        <f t="shared" si="6"/>
        <v>169.44</v>
      </c>
      <c r="H252" s="124">
        <f t="shared" si="7"/>
        <v>177.91</v>
      </c>
      <c r="I252" s="137">
        <v>4521536190</v>
      </c>
      <c r="J252" s="119"/>
      <c r="K252" s="155"/>
      <c r="N252" s="120"/>
      <c r="O252" s="60"/>
    </row>
    <row r="253" spans="1:15" x14ac:dyDescent="0.25">
      <c r="A253" s="134" t="s">
        <v>347</v>
      </c>
      <c r="B253" s="135" t="s">
        <v>561</v>
      </c>
      <c r="C253" s="137">
        <v>200</v>
      </c>
      <c r="D253" s="137">
        <v>2</v>
      </c>
      <c r="E253" s="137">
        <v>100</v>
      </c>
      <c r="F253" s="173">
        <v>69.98</v>
      </c>
      <c r="G253" s="124">
        <f t="shared" si="6"/>
        <v>139.96</v>
      </c>
      <c r="H253" s="124">
        <f t="shared" si="7"/>
        <v>146.96</v>
      </c>
      <c r="I253" s="137">
        <v>3001938322</v>
      </c>
      <c r="J253" s="119"/>
      <c r="K253" s="155"/>
      <c r="N253" s="120"/>
      <c r="O253" s="60"/>
    </row>
    <row r="254" spans="1:15" x14ac:dyDescent="0.25">
      <c r="A254" s="134" t="s">
        <v>562</v>
      </c>
      <c r="B254" s="121" t="s">
        <v>211</v>
      </c>
      <c r="C254" s="137"/>
      <c r="D254" s="137"/>
      <c r="E254" s="137" t="s">
        <v>203</v>
      </c>
      <c r="F254" s="173"/>
      <c r="G254" s="124"/>
      <c r="H254" s="124"/>
      <c r="I254" s="137">
        <v>11355279216</v>
      </c>
      <c r="J254" s="119"/>
      <c r="K254" s="155"/>
      <c r="N254" s="120"/>
      <c r="O254" s="60"/>
    </row>
    <row r="255" spans="1:15" x14ac:dyDescent="0.25">
      <c r="A255" s="134" t="s">
        <v>563</v>
      </c>
      <c r="B255" s="121" t="s">
        <v>197</v>
      </c>
      <c r="C255" s="137"/>
      <c r="D255" s="137"/>
      <c r="E255" s="137" t="s">
        <v>198</v>
      </c>
      <c r="F255" s="173"/>
      <c r="G255" s="124"/>
      <c r="H255" s="124"/>
      <c r="I255" s="122">
        <v>5117208922</v>
      </c>
      <c r="J255" s="119"/>
      <c r="K255" s="155"/>
      <c r="N255" s="120"/>
      <c r="O255" s="60"/>
    </row>
    <row r="256" spans="1:15" x14ac:dyDescent="0.25">
      <c r="A256" s="134" t="s">
        <v>564</v>
      </c>
      <c r="B256" s="121" t="s">
        <v>200</v>
      </c>
      <c r="C256" s="137"/>
      <c r="D256" s="137"/>
      <c r="E256" s="137" t="s">
        <v>198</v>
      </c>
      <c r="F256" s="173"/>
      <c r="G256" s="124"/>
      <c r="H256" s="124"/>
      <c r="I256" s="122">
        <v>5117291922</v>
      </c>
      <c r="J256" s="119"/>
      <c r="K256" s="155"/>
      <c r="N256" s="120"/>
      <c r="O256" s="60"/>
    </row>
    <row r="257" spans="1:15" x14ac:dyDescent="0.25">
      <c r="A257" s="134" t="s">
        <v>349</v>
      </c>
      <c r="B257" s="135" t="s">
        <v>565</v>
      </c>
      <c r="C257" s="137">
        <v>200</v>
      </c>
      <c r="D257" s="137">
        <v>2</v>
      </c>
      <c r="E257" s="137">
        <v>100</v>
      </c>
      <c r="F257" s="173">
        <v>58</v>
      </c>
      <c r="G257" s="124">
        <f t="shared" ref="G257:G303" si="8">F257*D257</f>
        <v>116</v>
      </c>
      <c r="H257" s="124">
        <f t="shared" ref="H257:H301" si="9">ROUND(G257*1.05,2)</f>
        <v>121.8</v>
      </c>
      <c r="I257" s="137">
        <v>3001962322</v>
      </c>
      <c r="J257" s="119"/>
      <c r="K257" s="155"/>
      <c r="N257" s="120"/>
      <c r="O257" s="60"/>
    </row>
    <row r="258" spans="1:15" x14ac:dyDescent="0.25">
      <c r="A258" s="134" t="s">
        <v>566</v>
      </c>
      <c r="B258" s="121" t="s">
        <v>211</v>
      </c>
      <c r="C258" s="137"/>
      <c r="D258" s="137"/>
      <c r="E258" s="137" t="s">
        <v>203</v>
      </c>
      <c r="F258" s="173"/>
      <c r="G258" s="124"/>
      <c r="H258" s="124"/>
      <c r="I258" s="137">
        <v>11355279216</v>
      </c>
      <c r="J258" s="119"/>
      <c r="K258" s="155"/>
      <c r="N258" s="120"/>
      <c r="O258" s="60"/>
    </row>
    <row r="259" spans="1:15" x14ac:dyDescent="0.25">
      <c r="A259" s="134" t="s">
        <v>567</v>
      </c>
      <c r="B259" s="121" t="s">
        <v>197</v>
      </c>
      <c r="C259" s="137"/>
      <c r="D259" s="137"/>
      <c r="E259" s="137" t="s">
        <v>198</v>
      </c>
      <c r="F259" s="173"/>
      <c r="G259" s="124"/>
      <c r="H259" s="124"/>
      <c r="I259" s="122">
        <v>5117208922</v>
      </c>
      <c r="J259" s="119"/>
      <c r="K259" s="155"/>
      <c r="N259" s="120"/>
      <c r="O259" s="60"/>
    </row>
    <row r="260" spans="1:15" x14ac:dyDescent="0.25">
      <c r="A260" s="134" t="s">
        <v>568</v>
      </c>
      <c r="B260" s="121" t="s">
        <v>200</v>
      </c>
      <c r="C260" s="137"/>
      <c r="D260" s="137"/>
      <c r="E260" s="137" t="s">
        <v>198</v>
      </c>
      <c r="F260" s="173"/>
      <c r="G260" s="124"/>
      <c r="H260" s="124"/>
      <c r="I260" s="122">
        <v>5117291922</v>
      </c>
      <c r="J260" s="119"/>
      <c r="K260" s="155"/>
      <c r="N260" s="120"/>
      <c r="O260" s="60"/>
    </row>
    <row r="261" spans="1:15" x14ac:dyDescent="0.25">
      <c r="A261" s="134" t="s">
        <v>352</v>
      </c>
      <c r="B261" s="135" t="s">
        <v>329</v>
      </c>
      <c r="C261" s="137">
        <v>200</v>
      </c>
      <c r="D261" s="137">
        <v>2</v>
      </c>
      <c r="E261" s="137">
        <v>150</v>
      </c>
      <c r="F261" s="173">
        <v>235.07999999999998</v>
      </c>
      <c r="G261" s="124">
        <f t="shared" si="8"/>
        <v>470.15999999999997</v>
      </c>
      <c r="H261" s="124">
        <f t="shared" si="9"/>
        <v>493.67</v>
      </c>
      <c r="I261" s="137">
        <v>4489403190</v>
      </c>
      <c r="J261" s="119"/>
      <c r="K261" s="155"/>
      <c r="N261" s="120"/>
      <c r="O261" s="60"/>
    </row>
    <row r="262" spans="1:15" x14ac:dyDescent="0.25">
      <c r="A262" s="134" t="s">
        <v>569</v>
      </c>
      <c r="B262" s="121" t="s">
        <v>331</v>
      </c>
      <c r="C262" s="137"/>
      <c r="D262" s="137">
        <v>1</v>
      </c>
      <c r="E262" s="137" t="s">
        <v>275</v>
      </c>
      <c r="F262" s="173">
        <v>55.71</v>
      </c>
      <c r="G262" s="124">
        <f t="shared" si="8"/>
        <v>55.71</v>
      </c>
      <c r="H262" s="124">
        <f t="shared" si="9"/>
        <v>58.5</v>
      </c>
      <c r="I262" s="137">
        <v>3555941190</v>
      </c>
      <c r="J262" s="119"/>
      <c r="K262" s="155"/>
      <c r="N262" s="120"/>
      <c r="O262" s="60"/>
    </row>
    <row r="263" spans="1:15" x14ac:dyDescent="0.25">
      <c r="A263" s="134" t="s">
        <v>570</v>
      </c>
      <c r="B263" s="121" t="s">
        <v>197</v>
      </c>
      <c r="C263" s="137"/>
      <c r="D263" s="137"/>
      <c r="E263" s="137" t="s">
        <v>198</v>
      </c>
      <c r="F263" s="173"/>
      <c r="G263" s="124"/>
      <c r="H263" s="124"/>
      <c r="I263" s="122">
        <v>5117208922</v>
      </c>
      <c r="J263" s="119"/>
      <c r="K263" s="155"/>
      <c r="N263" s="120"/>
      <c r="O263" s="60"/>
    </row>
    <row r="264" spans="1:15" x14ac:dyDescent="0.25">
      <c r="A264" s="134" t="s">
        <v>571</v>
      </c>
      <c r="B264" s="121" t="s">
        <v>200</v>
      </c>
      <c r="C264" s="137"/>
      <c r="D264" s="137"/>
      <c r="E264" s="137" t="s">
        <v>198</v>
      </c>
      <c r="F264" s="173"/>
      <c r="G264" s="124"/>
      <c r="H264" s="124"/>
      <c r="I264" s="122">
        <v>5117291922</v>
      </c>
      <c r="J264" s="119"/>
      <c r="K264" s="155"/>
      <c r="N264" s="120"/>
      <c r="O264" s="60"/>
    </row>
    <row r="265" spans="1:15" x14ac:dyDescent="0.25">
      <c r="A265" s="134" t="s">
        <v>354</v>
      </c>
      <c r="B265" s="135" t="s">
        <v>257</v>
      </c>
      <c r="C265" s="137">
        <v>5000</v>
      </c>
      <c r="D265" s="137">
        <v>25</v>
      </c>
      <c r="E265" s="137">
        <v>200</v>
      </c>
      <c r="F265" s="173">
        <v>56.77</v>
      </c>
      <c r="G265" s="124">
        <f t="shared" si="8"/>
        <v>1419.25</v>
      </c>
      <c r="H265" s="124">
        <f t="shared" si="9"/>
        <v>1490.21</v>
      </c>
      <c r="I265" s="137">
        <v>20766623322</v>
      </c>
      <c r="J265" s="119"/>
      <c r="K265" s="155"/>
      <c r="N265" s="120"/>
      <c r="O265" s="60"/>
    </row>
    <row r="266" spans="1:15" x14ac:dyDescent="0.25">
      <c r="A266" s="134" t="s">
        <v>572</v>
      </c>
      <c r="B266" s="121" t="s">
        <v>194</v>
      </c>
      <c r="C266" s="137"/>
      <c r="D266" s="137"/>
      <c r="E266" s="137" t="s">
        <v>195</v>
      </c>
      <c r="F266" s="173"/>
      <c r="G266" s="124"/>
      <c r="H266" s="124"/>
      <c r="I266" s="137">
        <v>10759350190</v>
      </c>
      <c r="J266" s="119"/>
      <c r="K266" s="155"/>
      <c r="N266" s="120"/>
      <c r="O266" s="60"/>
    </row>
    <row r="267" spans="1:15" x14ac:dyDescent="0.25">
      <c r="A267" s="134" t="s">
        <v>573</v>
      </c>
      <c r="B267" s="121" t="s">
        <v>197</v>
      </c>
      <c r="C267" s="137"/>
      <c r="D267" s="137"/>
      <c r="E267" s="137" t="s">
        <v>198</v>
      </c>
      <c r="F267" s="173"/>
      <c r="G267" s="124"/>
      <c r="H267" s="124"/>
      <c r="I267" s="122">
        <v>5117208922</v>
      </c>
      <c r="J267" s="119"/>
      <c r="K267" s="155"/>
      <c r="N267" s="120"/>
      <c r="O267" s="60"/>
    </row>
    <row r="268" spans="1:15" x14ac:dyDescent="0.25">
      <c r="A268" s="134" t="s">
        <v>574</v>
      </c>
      <c r="B268" s="121" t="s">
        <v>200</v>
      </c>
      <c r="C268" s="137"/>
      <c r="D268" s="137"/>
      <c r="E268" s="137" t="s">
        <v>198</v>
      </c>
      <c r="F268" s="173"/>
      <c r="G268" s="124"/>
      <c r="H268" s="124"/>
      <c r="I268" s="122">
        <v>5117291922</v>
      </c>
      <c r="J268" s="119"/>
      <c r="K268" s="155"/>
      <c r="N268" s="120"/>
      <c r="O268" s="60"/>
    </row>
    <row r="269" spans="1:15" x14ac:dyDescent="0.25">
      <c r="A269" s="134" t="s">
        <v>357</v>
      </c>
      <c r="B269" s="135" t="s">
        <v>335</v>
      </c>
      <c r="C269" s="137">
        <v>2000</v>
      </c>
      <c r="D269" s="137">
        <v>7</v>
      </c>
      <c r="E269" s="137">
        <v>300</v>
      </c>
      <c r="F269" s="173">
        <v>22.16</v>
      </c>
      <c r="G269" s="124">
        <f t="shared" si="8"/>
        <v>155.12</v>
      </c>
      <c r="H269" s="124">
        <f t="shared" si="9"/>
        <v>162.88</v>
      </c>
      <c r="I269" s="137">
        <v>3004732122</v>
      </c>
      <c r="J269" s="119"/>
      <c r="K269" s="155"/>
      <c r="N269" s="120"/>
      <c r="O269" s="60"/>
    </row>
    <row r="270" spans="1:15" x14ac:dyDescent="0.25">
      <c r="A270" s="134" t="s">
        <v>575</v>
      </c>
      <c r="B270" s="121" t="s">
        <v>194</v>
      </c>
      <c r="C270" s="137"/>
      <c r="D270" s="137"/>
      <c r="E270" s="137" t="s">
        <v>195</v>
      </c>
      <c r="F270" s="173"/>
      <c r="G270" s="124"/>
      <c r="H270" s="124"/>
      <c r="I270" s="137">
        <v>10759350190</v>
      </c>
      <c r="J270" s="119"/>
      <c r="K270" s="155"/>
      <c r="N270" s="120"/>
      <c r="O270" s="60"/>
    </row>
    <row r="271" spans="1:15" x14ac:dyDescent="0.25">
      <c r="A271" s="134" t="s">
        <v>576</v>
      </c>
      <c r="B271" s="121" t="s">
        <v>197</v>
      </c>
      <c r="C271" s="137"/>
      <c r="D271" s="137"/>
      <c r="E271" s="137" t="s">
        <v>198</v>
      </c>
      <c r="F271" s="173"/>
      <c r="G271" s="124"/>
      <c r="H271" s="124"/>
      <c r="I271" s="122">
        <v>5117208922</v>
      </c>
      <c r="J271" s="119"/>
      <c r="K271" s="155"/>
      <c r="N271" s="120"/>
      <c r="O271" s="60"/>
    </row>
    <row r="272" spans="1:15" x14ac:dyDescent="0.25">
      <c r="A272" s="134" t="s">
        <v>577</v>
      </c>
      <c r="B272" s="121" t="s">
        <v>200</v>
      </c>
      <c r="C272" s="137"/>
      <c r="D272" s="137"/>
      <c r="E272" s="137" t="s">
        <v>198</v>
      </c>
      <c r="F272" s="173"/>
      <c r="G272" s="124"/>
      <c r="H272" s="124"/>
      <c r="I272" s="122">
        <v>5117291922</v>
      </c>
      <c r="J272" s="119"/>
      <c r="K272" s="155"/>
      <c r="N272" s="120"/>
      <c r="O272" s="60"/>
    </row>
    <row r="273" spans="1:15" x14ac:dyDescent="0.25">
      <c r="A273" s="134" t="s">
        <v>360</v>
      </c>
      <c r="B273" s="135" t="s">
        <v>339</v>
      </c>
      <c r="C273" s="137">
        <v>830</v>
      </c>
      <c r="D273" s="137">
        <v>5</v>
      </c>
      <c r="E273" s="137">
        <v>200</v>
      </c>
      <c r="F273" s="173">
        <v>37.06</v>
      </c>
      <c r="G273" s="124">
        <f t="shared" si="8"/>
        <v>185.3</v>
      </c>
      <c r="H273" s="124">
        <f t="shared" si="9"/>
        <v>194.57</v>
      </c>
      <c r="I273" s="137">
        <v>4524977190</v>
      </c>
      <c r="J273" s="119"/>
      <c r="K273" s="155"/>
      <c r="N273" s="120"/>
      <c r="O273" s="60"/>
    </row>
    <row r="274" spans="1:15" x14ac:dyDescent="0.25">
      <c r="A274" s="134" t="s">
        <v>578</v>
      </c>
      <c r="B274" s="121" t="s">
        <v>194</v>
      </c>
      <c r="C274" s="137"/>
      <c r="D274" s="137"/>
      <c r="E274" s="137" t="s">
        <v>195</v>
      </c>
      <c r="F274" s="173"/>
      <c r="G274" s="124"/>
      <c r="H274" s="124"/>
      <c r="I274" s="137">
        <v>10759350190</v>
      </c>
      <c r="J274" s="119"/>
      <c r="K274" s="155"/>
      <c r="N274" s="120"/>
      <c r="O274" s="60"/>
    </row>
    <row r="275" spans="1:15" x14ac:dyDescent="0.25">
      <c r="A275" s="134" t="s">
        <v>579</v>
      </c>
      <c r="B275" s="121" t="s">
        <v>197</v>
      </c>
      <c r="C275" s="137"/>
      <c r="D275" s="137"/>
      <c r="E275" s="137" t="s">
        <v>198</v>
      </c>
      <c r="F275" s="173"/>
      <c r="G275" s="124"/>
      <c r="H275" s="124"/>
      <c r="I275" s="122">
        <v>5117208922</v>
      </c>
      <c r="J275" s="119"/>
      <c r="K275" s="155"/>
      <c r="N275" s="120"/>
      <c r="O275" s="60"/>
    </row>
    <row r="276" spans="1:15" x14ac:dyDescent="0.25">
      <c r="A276" s="134" t="s">
        <v>580</v>
      </c>
      <c r="B276" s="121" t="s">
        <v>200</v>
      </c>
      <c r="C276" s="137"/>
      <c r="D276" s="137"/>
      <c r="E276" s="137" t="s">
        <v>198</v>
      </c>
      <c r="F276" s="173"/>
      <c r="G276" s="124"/>
      <c r="H276" s="124"/>
      <c r="I276" s="122">
        <v>5117291922</v>
      </c>
      <c r="J276" s="119"/>
      <c r="K276" s="155"/>
      <c r="N276" s="120"/>
      <c r="O276" s="60"/>
    </row>
    <row r="277" spans="1:15" x14ac:dyDescent="0.25">
      <c r="A277" s="134" t="s">
        <v>363</v>
      </c>
      <c r="B277" s="135" t="s">
        <v>581</v>
      </c>
      <c r="C277" s="137">
        <v>800</v>
      </c>
      <c r="D277" s="137">
        <v>8</v>
      </c>
      <c r="E277" s="137">
        <v>100</v>
      </c>
      <c r="F277" s="173">
        <v>39.1</v>
      </c>
      <c r="G277" s="124">
        <f t="shared" si="8"/>
        <v>312.8</v>
      </c>
      <c r="H277" s="124">
        <f t="shared" si="9"/>
        <v>328.44</v>
      </c>
      <c r="I277" s="137">
        <v>3183777190</v>
      </c>
      <c r="J277" s="119"/>
      <c r="K277" s="155"/>
      <c r="N277" s="120"/>
      <c r="O277" s="60"/>
    </row>
    <row r="278" spans="1:15" x14ac:dyDescent="0.25">
      <c r="A278" s="134" t="s">
        <v>582</v>
      </c>
      <c r="B278" s="121" t="s">
        <v>583</v>
      </c>
      <c r="C278" s="137"/>
      <c r="D278" s="137">
        <v>1</v>
      </c>
      <c r="E278" s="137" t="s">
        <v>584</v>
      </c>
      <c r="F278" s="173">
        <v>57.35</v>
      </c>
      <c r="G278" s="124">
        <f t="shared" si="8"/>
        <v>57.35</v>
      </c>
      <c r="H278" s="124">
        <f t="shared" si="9"/>
        <v>60.22</v>
      </c>
      <c r="I278" s="137">
        <v>20751995190</v>
      </c>
      <c r="J278" s="119"/>
      <c r="K278" s="155"/>
      <c r="N278" s="120"/>
      <c r="O278" s="60"/>
    </row>
    <row r="279" spans="1:15" x14ac:dyDescent="0.25">
      <c r="A279" s="134" t="s">
        <v>585</v>
      </c>
      <c r="B279" s="121" t="s">
        <v>586</v>
      </c>
      <c r="C279" s="137"/>
      <c r="D279" s="137">
        <v>1</v>
      </c>
      <c r="E279" s="137" t="s">
        <v>587</v>
      </c>
      <c r="F279" s="173">
        <v>67.77</v>
      </c>
      <c r="G279" s="124">
        <f t="shared" si="8"/>
        <v>67.77</v>
      </c>
      <c r="H279" s="124">
        <f t="shared" si="9"/>
        <v>71.16</v>
      </c>
      <c r="I279" s="137">
        <v>20752401190</v>
      </c>
      <c r="J279" s="119"/>
      <c r="K279" s="155"/>
      <c r="N279" s="120"/>
      <c r="O279" s="60"/>
    </row>
    <row r="280" spans="1:15" x14ac:dyDescent="0.25">
      <c r="A280" s="134" t="s">
        <v>588</v>
      </c>
      <c r="B280" s="121" t="s">
        <v>589</v>
      </c>
      <c r="C280" s="137"/>
      <c r="D280" s="137">
        <v>1</v>
      </c>
      <c r="E280" s="137" t="s">
        <v>587</v>
      </c>
      <c r="F280" s="173">
        <v>67.77</v>
      </c>
      <c r="G280" s="124">
        <f t="shared" si="8"/>
        <v>67.77</v>
      </c>
      <c r="H280" s="124">
        <f t="shared" si="9"/>
        <v>71.16</v>
      </c>
      <c r="I280" s="137">
        <v>20753009190</v>
      </c>
      <c r="J280" s="119"/>
      <c r="K280" s="155"/>
      <c r="N280" s="120"/>
      <c r="O280" s="60"/>
    </row>
    <row r="281" spans="1:15" x14ac:dyDescent="0.25">
      <c r="A281" s="134" t="s">
        <v>365</v>
      </c>
      <c r="B281" s="135" t="s">
        <v>590</v>
      </c>
      <c r="C281" s="137">
        <v>1000</v>
      </c>
      <c r="D281" s="137">
        <v>4</v>
      </c>
      <c r="E281" s="137">
        <v>300</v>
      </c>
      <c r="F281" s="173">
        <v>15.76</v>
      </c>
      <c r="G281" s="124">
        <f t="shared" si="8"/>
        <v>63.04</v>
      </c>
      <c r="H281" s="124">
        <f t="shared" si="9"/>
        <v>66.19</v>
      </c>
      <c r="I281" s="137">
        <v>3183688122</v>
      </c>
      <c r="J281" s="119"/>
      <c r="K281" s="155"/>
      <c r="N281" s="120"/>
      <c r="O281" s="60"/>
    </row>
    <row r="282" spans="1:15" x14ac:dyDescent="0.25">
      <c r="A282" s="134" t="s">
        <v>591</v>
      </c>
      <c r="B282" s="121" t="s">
        <v>194</v>
      </c>
      <c r="C282" s="137"/>
      <c r="D282" s="137"/>
      <c r="E282" s="137" t="s">
        <v>195</v>
      </c>
      <c r="F282" s="173"/>
      <c r="G282" s="124"/>
      <c r="H282" s="124"/>
      <c r="I282" s="137">
        <v>10759350190</v>
      </c>
      <c r="J282" s="119"/>
      <c r="K282" s="155"/>
      <c r="N282" s="120"/>
      <c r="O282" s="60"/>
    </row>
    <row r="283" spans="1:15" x14ac:dyDescent="0.25">
      <c r="A283" s="134" t="s">
        <v>592</v>
      </c>
      <c r="B283" s="121" t="s">
        <v>197</v>
      </c>
      <c r="C283" s="137"/>
      <c r="D283" s="137"/>
      <c r="E283" s="137" t="s">
        <v>198</v>
      </c>
      <c r="F283" s="173"/>
      <c r="G283" s="124"/>
      <c r="H283" s="124"/>
      <c r="I283" s="122">
        <v>5117208922</v>
      </c>
      <c r="J283" s="119"/>
      <c r="K283" s="155"/>
      <c r="N283" s="120"/>
      <c r="O283" s="60"/>
    </row>
    <row r="284" spans="1:15" x14ac:dyDescent="0.25">
      <c r="A284" s="134" t="s">
        <v>593</v>
      </c>
      <c r="B284" s="121" t="s">
        <v>200</v>
      </c>
      <c r="C284" s="137"/>
      <c r="D284" s="137"/>
      <c r="E284" s="137" t="s">
        <v>198</v>
      </c>
      <c r="F284" s="173"/>
      <c r="G284" s="124"/>
      <c r="H284" s="124"/>
      <c r="I284" s="122">
        <v>5117291922</v>
      </c>
      <c r="J284" s="119"/>
      <c r="K284" s="155"/>
      <c r="N284" s="120"/>
      <c r="O284" s="60"/>
    </row>
    <row r="285" spans="1:15" x14ac:dyDescent="0.25">
      <c r="A285" s="134" t="s">
        <v>368</v>
      </c>
      <c r="B285" s="152" t="s">
        <v>345</v>
      </c>
      <c r="C285" s="137"/>
      <c r="D285" s="137">
        <v>3</v>
      </c>
      <c r="E285" s="137" t="s">
        <v>346</v>
      </c>
      <c r="F285" s="173">
        <v>8.1</v>
      </c>
      <c r="G285" s="124">
        <f t="shared" si="8"/>
        <v>24.299999999999997</v>
      </c>
      <c r="H285" s="124">
        <f t="shared" si="9"/>
        <v>25.52</v>
      </c>
      <c r="I285" s="137">
        <v>4489357190</v>
      </c>
      <c r="J285" s="119"/>
      <c r="K285" s="155"/>
      <c r="N285" s="120"/>
      <c r="O285" s="60"/>
    </row>
    <row r="286" spans="1:15" x14ac:dyDescent="0.25">
      <c r="A286" s="134" t="s">
        <v>371</v>
      </c>
      <c r="B286" s="152" t="s">
        <v>348</v>
      </c>
      <c r="C286" s="137"/>
      <c r="D286" s="137">
        <v>1</v>
      </c>
      <c r="E286" s="137" t="s">
        <v>283</v>
      </c>
      <c r="F286" s="173">
        <v>205.92000000000002</v>
      </c>
      <c r="G286" s="124">
        <f t="shared" si="8"/>
        <v>205.92000000000002</v>
      </c>
      <c r="H286" s="124">
        <f t="shared" si="9"/>
        <v>216.22</v>
      </c>
      <c r="I286" s="137">
        <v>3149501001</v>
      </c>
      <c r="J286" s="119"/>
      <c r="K286" s="155"/>
      <c r="N286" s="120"/>
      <c r="O286" s="60"/>
    </row>
    <row r="287" spans="1:15" x14ac:dyDescent="0.25">
      <c r="A287" s="134" t="s">
        <v>374</v>
      </c>
      <c r="B287" s="152" t="s">
        <v>350</v>
      </c>
      <c r="C287" s="137"/>
      <c r="D287" s="137">
        <v>6</v>
      </c>
      <c r="E287" s="137" t="s">
        <v>351</v>
      </c>
      <c r="F287" s="173">
        <v>9.1300000000000008</v>
      </c>
      <c r="G287" s="124">
        <f t="shared" si="8"/>
        <v>54.78</v>
      </c>
      <c r="H287" s="124">
        <f t="shared" si="9"/>
        <v>57.52</v>
      </c>
      <c r="I287" s="137">
        <v>11183974216</v>
      </c>
      <c r="J287" s="119"/>
      <c r="K287" s="155"/>
      <c r="N287" s="120"/>
      <c r="O287" s="60"/>
    </row>
    <row r="288" spans="1:15" x14ac:dyDescent="0.25">
      <c r="A288" s="134" t="s">
        <v>376</v>
      </c>
      <c r="B288" s="152" t="s">
        <v>353</v>
      </c>
      <c r="C288" s="137"/>
      <c r="D288" s="137">
        <v>6</v>
      </c>
      <c r="E288" s="137" t="s">
        <v>351</v>
      </c>
      <c r="F288" s="173">
        <v>9.1300000000000008</v>
      </c>
      <c r="G288" s="124">
        <f t="shared" si="8"/>
        <v>54.78</v>
      </c>
      <c r="H288" s="124">
        <f t="shared" si="9"/>
        <v>57.52</v>
      </c>
      <c r="I288" s="137">
        <v>11183982216</v>
      </c>
      <c r="J288" s="119"/>
      <c r="K288" s="155"/>
      <c r="N288" s="120"/>
      <c r="O288" s="60"/>
    </row>
    <row r="289" spans="1:15" x14ac:dyDescent="0.25">
      <c r="A289" s="134" t="s">
        <v>379</v>
      </c>
      <c r="B289" s="152" t="s">
        <v>355</v>
      </c>
      <c r="C289" s="137"/>
      <c r="D289" s="137">
        <v>1</v>
      </c>
      <c r="E289" s="137" t="s">
        <v>356</v>
      </c>
      <c r="F289" s="173">
        <v>26.1</v>
      </c>
      <c r="G289" s="124">
        <f t="shared" si="8"/>
        <v>26.1</v>
      </c>
      <c r="H289" s="124">
        <f t="shared" si="9"/>
        <v>27.41</v>
      </c>
      <c r="I289" s="137">
        <v>11489828216</v>
      </c>
      <c r="J289" s="119"/>
      <c r="K289" s="155"/>
      <c r="N289" s="120"/>
      <c r="O289" s="60"/>
    </row>
    <row r="290" spans="1:15" x14ac:dyDescent="0.25">
      <c r="A290" s="134" t="s">
        <v>381</v>
      </c>
      <c r="B290" s="152" t="s">
        <v>358</v>
      </c>
      <c r="C290" s="137"/>
      <c r="D290" s="137">
        <v>7</v>
      </c>
      <c r="E290" s="137" t="s">
        <v>359</v>
      </c>
      <c r="F290" s="173">
        <v>49.37</v>
      </c>
      <c r="G290" s="124">
        <f t="shared" si="8"/>
        <v>345.59</v>
      </c>
      <c r="H290" s="124">
        <f t="shared" si="9"/>
        <v>362.87</v>
      </c>
      <c r="I290" s="137">
        <v>4522630190</v>
      </c>
      <c r="J290" s="119"/>
      <c r="K290" s="155"/>
      <c r="N290" s="120"/>
      <c r="O290" s="60"/>
    </row>
    <row r="291" spans="1:15" x14ac:dyDescent="0.25">
      <c r="A291" s="134" t="s">
        <v>384</v>
      </c>
      <c r="B291" s="152" t="s">
        <v>361</v>
      </c>
      <c r="C291" s="137"/>
      <c r="D291" s="137">
        <v>25</v>
      </c>
      <c r="E291" s="137" t="s">
        <v>362</v>
      </c>
      <c r="F291" s="173">
        <v>42.32</v>
      </c>
      <c r="G291" s="124">
        <f t="shared" si="8"/>
        <v>1058</v>
      </c>
      <c r="H291" s="124">
        <f t="shared" si="9"/>
        <v>1110.9000000000001</v>
      </c>
      <c r="I291" s="137">
        <v>4522320190</v>
      </c>
      <c r="J291" s="119"/>
      <c r="K291" s="155"/>
      <c r="N291" s="120"/>
      <c r="O291" s="60"/>
    </row>
    <row r="292" spans="1:15" x14ac:dyDescent="0.25">
      <c r="A292" s="134" t="s">
        <v>386</v>
      </c>
      <c r="B292" s="152" t="s">
        <v>364</v>
      </c>
      <c r="C292" s="137"/>
      <c r="D292" s="137">
        <v>8</v>
      </c>
      <c r="E292" s="137" t="s">
        <v>359</v>
      </c>
      <c r="F292" s="173">
        <v>28.94</v>
      </c>
      <c r="G292" s="124">
        <f t="shared" si="8"/>
        <v>231.52</v>
      </c>
      <c r="H292" s="124">
        <f t="shared" si="9"/>
        <v>243.1</v>
      </c>
      <c r="I292" s="137">
        <v>11360981216</v>
      </c>
      <c r="J292" s="119"/>
      <c r="K292" s="155"/>
      <c r="N292" s="120"/>
      <c r="O292" s="60"/>
    </row>
    <row r="293" spans="1:15" x14ac:dyDescent="0.25">
      <c r="A293" s="134" t="s">
        <v>388</v>
      </c>
      <c r="B293" s="156" t="s">
        <v>366</v>
      </c>
      <c r="C293" s="137"/>
      <c r="D293" s="137">
        <v>1</v>
      </c>
      <c r="E293" s="137" t="s">
        <v>367</v>
      </c>
      <c r="F293" s="173">
        <v>39.1</v>
      </c>
      <c r="G293" s="124">
        <f t="shared" si="8"/>
        <v>39.1</v>
      </c>
      <c r="H293" s="124">
        <f t="shared" si="9"/>
        <v>41.06</v>
      </c>
      <c r="I293" s="137">
        <v>11298500316</v>
      </c>
      <c r="J293" s="119"/>
      <c r="K293" s="155"/>
      <c r="N293" s="120"/>
      <c r="O293" s="60"/>
    </row>
    <row r="294" spans="1:15" x14ac:dyDescent="0.25">
      <c r="A294" s="134" t="s">
        <v>391</v>
      </c>
      <c r="B294" s="152" t="s">
        <v>369</v>
      </c>
      <c r="C294" s="137"/>
      <c r="D294" s="137">
        <v>7</v>
      </c>
      <c r="E294" s="137" t="s">
        <v>370</v>
      </c>
      <c r="F294" s="173">
        <v>46.92</v>
      </c>
      <c r="G294" s="124">
        <f t="shared" si="8"/>
        <v>328.44</v>
      </c>
      <c r="H294" s="124">
        <f t="shared" si="9"/>
        <v>344.86</v>
      </c>
      <c r="I294" s="137">
        <v>4663632190</v>
      </c>
      <c r="J294" s="119"/>
      <c r="K294" s="155"/>
      <c r="N294" s="120"/>
      <c r="O294" s="60"/>
    </row>
    <row r="295" spans="1:15" x14ac:dyDescent="0.25">
      <c r="A295" s="134" t="s">
        <v>594</v>
      </c>
      <c r="B295" s="152" t="s">
        <v>372</v>
      </c>
      <c r="C295" s="137"/>
      <c r="D295" s="137">
        <v>53</v>
      </c>
      <c r="E295" s="137" t="s">
        <v>373</v>
      </c>
      <c r="F295" s="173">
        <v>4.62</v>
      </c>
      <c r="G295" s="124">
        <f t="shared" si="8"/>
        <v>244.86</v>
      </c>
      <c r="H295" s="124">
        <f t="shared" si="9"/>
        <v>257.10000000000002</v>
      </c>
      <c r="I295" s="137">
        <v>4489241190</v>
      </c>
      <c r="J295" s="119"/>
      <c r="K295" s="155"/>
      <c r="N295" s="120"/>
      <c r="O295" s="60"/>
    </row>
    <row r="296" spans="1:15" x14ac:dyDescent="0.25">
      <c r="A296" s="134" t="s">
        <v>595</v>
      </c>
      <c r="B296" s="152" t="s">
        <v>375</v>
      </c>
      <c r="C296" s="137"/>
      <c r="D296" s="137">
        <v>20</v>
      </c>
      <c r="E296" s="137" t="s">
        <v>346</v>
      </c>
      <c r="F296" s="173">
        <v>4.55</v>
      </c>
      <c r="G296" s="124">
        <f t="shared" si="8"/>
        <v>91</v>
      </c>
      <c r="H296" s="124">
        <f t="shared" si="9"/>
        <v>95.55</v>
      </c>
      <c r="I296" s="137">
        <v>4489225190</v>
      </c>
      <c r="J296" s="119"/>
      <c r="K296" s="155"/>
      <c r="N296" s="120"/>
      <c r="O296" s="60"/>
    </row>
    <row r="297" spans="1:15" x14ac:dyDescent="0.25">
      <c r="A297" s="134" t="s">
        <v>596</v>
      </c>
      <c r="B297" s="157" t="s">
        <v>377</v>
      </c>
      <c r="C297" s="137"/>
      <c r="D297" s="137">
        <v>35</v>
      </c>
      <c r="E297" s="137" t="s">
        <v>378</v>
      </c>
      <c r="F297" s="173">
        <v>20.85</v>
      </c>
      <c r="G297" s="124">
        <f t="shared" si="8"/>
        <v>729.75</v>
      </c>
      <c r="H297" s="124">
        <f t="shared" si="9"/>
        <v>766.24</v>
      </c>
      <c r="I297" s="137">
        <v>4880285190</v>
      </c>
      <c r="J297" s="119"/>
      <c r="K297" s="155"/>
      <c r="N297" s="120"/>
      <c r="O297" s="60"/>
    </row>
    <row r="298" spans="1:15" x14ac:dyDescent="0.25">
      <c r="A298" s="134" t="s">
        <v>597</v>
      </c>
      <c r="B298" s="152" t="s">
        <v>380</v>
      </c>
      <c r="C298" s="137"/>
      <c r="D298" s="137">
        <v>1</v>
      </c>
      <c r="E298" s="137" t="s">
        <v>378</v>
      </c>
      <c r="F298" s="173">
        <v>27.67</v>
      </c>
      <c r="G298" s="124">
        <f t="shared" si="8"/>
        <v>27.67</v>
      </c>
      <c r="H298" s="124">
        <f t="shared" si="9"/>
        <v>29.05</v>
      </c>
      <c r="I298" s="137">
        <v>4880307190</v>
      </c>
      <c r="J298" s="119"/>
      <c r="K298" s="155"/>
      <c r="N298" s="120"/>
      <c r="O298" s="60"/>
    </row>
    <row r="299" spans="1:15" x14ac:dyDescent="0.25">
      <c r="A299" s="134" t="s">
        <v>598</v>
      </c>
      <c r="B299" s="152" t="s">
        <v>382</v>
      </c>
      <c r="C299" s="137"/>
      <c r="D299" s="137">
        <v>1</v>
      </c>
      <c r="E299" s="137" t="s">
        <v>383</v>
      </c>
      <c r="F299" s="173">
        <v>59.95</v>
      </c>
      <c r="G299" s="124">
        <f t="shared" si="8"/>
        <v>59.95</v>
      </c>
      <c r="H299" s="124">
        <f t="shared" si="9"/>
        <v>62.95</v>
      </c>
      <c r="I299" s="137">
        <v>4708725190</v>
      </c>
      <c r="J299" s="119"/>
      <c r="K299" s="155"/>
      <c r="N299" s="120"/>
      <c r="O299" s="60"/>
    </row>
    <row r="300" spans="1:15" x14ac:dyDescent="0.25">
      <c r="A300" s="134" t="s">
        <v>599</v>
      </c>
      <c r="B300" s="152" t="s">
        <v>385</v>
      </c>
      <c r="C300" s="137"/>
      <c r="D300" s="137">
        <v>2</v>
      </c>
      <c r="E300" s="137" t="s">
        <v>383</v>
      </c>
      <c r="F300" s="173">
        <v>69.19</v>
      </c>
      <c r="G300" s="124">
        <f t="shared" si="8"/>
        <v>138.38</v>
      </c>
      <c r="H300" s="124">
        <f t="shared" si="9"/>
        <v>145.30000000000001</v>
      </c>
      <c r="I300" s="137">
        <v>11555448216</v>
      </c>
      <c r="J300" s="119"/>
      <c r="K300" s="155"/>
      <c r="N300" s="120"/>
      <c r="O300" s="60"/>
    </row>
    <row r="301" spans="1:15" x14ac:dyDescent="0.25">
      <c r="A301" s="134" t="s">
        <v>600</v>
      </c>
      <c r="B301" s="152" t="s">
        <v>387</v>
      </c>
      <c r="C301" s="137"/>
      <c r="D301" s="137">
        <v>1</v>
      </c>
      <c r="E301" s="137">
        <v>1</v>
      </c>
      <c r="F301" s="173">
        <v>521.32000000000005</v>
      </c>
      <c r="G301" s="124">
        <f t="shared" si="8"/>
        <v>521.32000000000005</v>
      </c>
      <c r="H301" s="124">
        <f t="shared" si="9"/>
        <v>547.39</v>
      </c>
      <c r="I301" s="137">
        <v>4854241001</v>
      </c>
      <c r="J301" s="119"/>
      <c r="K301" s="155"/>
      <c r="N301" s="120"/>
      <c r="O301" s="60"/>
    </row>
    <row r="302" spans="1:15" x14ac:dyDescent="0.25">
      <c r="A302" s="134" t="s">
        <v>601</v>
      </c>
      <c r="B302" s="157" t="s">
        <v>389</v>
      </c>
      <c r="C302" s="137"/>
      <c r="D302" s="137">
        <v>2</v>
      </c>
      <c r="E302" s="137" t="s">
        <v>390</v>
      </c>
      <c r="F302" s="173">
        <v>28.67</v>
      </c>
      <c r="G302" s="124">
        <f t="shared" si="8"/>
        <v>57.34</v>
      </c>
      <c r="H302" s="124">
        <f>ROUND(G302*1.21,2)</f>
        <v>69.38</v>
      </c>
      <c r="I302" s="137">
        <v>5085713001</v>
      </c>
      <c r="J302" s="119"/>
      <c r="K302" s="155"/>
      <c r="N302" s="120"/>
      <c r="O302" s="60"/>
    </row>
    <row r="303" spans="1:15" x14ac:dyDescent="0.25">
      <c r="A303" s="134" t="s">
        <v>602</v>
      </c>
      <c r="B303" s="152" t="s">
        <v>392</v>
      </c>
      <c r="C303" s="137"/>
      <c r="D303" s="137">
        <v>4</v>
      </c>
      <c r="E303" s="137" t="s">
        <v>393</v>
      </c>
      <c r="F303" s="173">
        <v>45.61</v>
      </c>
      <c r="G303" s="124">
        <f t="shared" si="8"/>
        <v>182.44</v>
      </c>
      <c r="H303" s="124">
        <f>ROUND(G303*1.21,2)</f>
        <v>220.75</v>
      </c>
      <c r="I303" s="137">
        <v>10394246001</v>
      </c>
      <c r="J303" s="119"/>
      <c r="K303" s="155"/>
      <c r="N303" s="120"/>
      <c r="O303" s="60"/>
    </row>
    <row r="304" spans="1:15" x14ac:dyDescent="0.25">
      <c r="A304" s="192" t="s">
        <v>603</v>
      </c>
      <c r="B304" s="193"/>
      <c r="C304" s="193"/>
      <c r="D304" s="193"/>
      <c r="E304" s="193"/>
      <c r="F304" s="194"/>
      <c r="G304" s="158">
        <f>SUM(G122:G303)</f>
        <v>40966.719999999987</v>
      </c>
      <c r="H304" s="158">
        <f>SUM(H122:H303)</f>
        <v>43053.5</v>
      </c>
      <c r="I304" s="125"/>
    </row>
    <row r="305" spans="1:15" x14ac:dyDescent="0.25">
      <c r="A305" s="126" t="s">
        <v>516</v>
      </c>
    </row>
    <row r="306" spans="1:15" x14ac:dyDescent="0.25">
      <c r="A306" s="195" t="s">
        <v>604</v>
      </c>
      <c r="B306" s="195"/>
      <c r="C306" s="195"/>
      <c r="D306" s="195"/>
      <c r="E306" s="195"/>
      <c r="F306" s="195"/>
      <c r="G306" s="195"/>
      <c r="H306" s="195"/>
      <c r="I306" s="195"/>
    </row>
    <row r="307" spans="1:15" ht="26.25" customHeight="1" x14ac:dyDescent="0.25">
      <c r="A307" s="196" t="s">
        <v>605</v>
      </c>
      <c r="B307" s="196"/>
      <c r="C307" s="196"/>
      <c r="D307" s="196"/>
      <c r="E307" s="196"/>
      <c r="F307" s="196"/>
      <c r="G307" s="196"/>
      <c r="H307" s="196"/>
      <c r="I307" s="196"/>
    </row>
    <row r="308" spans="1:15" x14ac:dyDescent="0.25">
      <c r="A308" s="195" t="s">
        <v>395</v>
      </c>
      <c r="B308" s="195"/>
      <c r="C308" s="195"/>
      <c r="D308" s="195"/>
      <c r="E308" s="195"/>
      <c r="F308" s="195"/>
      <c r="G308" s="195"/>
      <c r="H308" s="195"/>
      <c r="I308" s="195"/>
    </row>
    <row r="309" spans="1:15" x14ac:dyDescent="0.25">
      <c r="A309" s="195" t="s">
        <v>606</v>
      </c>
      <c r="B309" s="195"/>
      <c r="C309" s="195"/>
      <c r="D309" s="195"/>
      <c r="E309" s="195"/>
      <c r="F309" s="195"/>
      <c r="G309" s="195"/>
      <c r="H309" s="195"/>
      <c r="I309" s="195"/>
    </row>
    <row r="310" spans="1:15" x14ac:dyDescent="0.25">
      <c r="A310" s="195" t="s">
        <v>397</v>
      </c>
      <c r="B310" s="195"/>
      <c r="C310" s="195"/>
      <c r="D310" s="195"/>
      <c r="E310" s="195"/>
      <c r="F310" s="195"/>
      <c r="G310" s="195"/>
      <c r="H310" s="195"/>
      <c r="I310" s="195"/>
    </row>
    <row r="311" spans="1:15" ht="39.75" customHeight="1" x14ac:dyDescent="0.25">
      <c r="A311" s="187" t="s">
        <v>518</v>
      </c>
      <c r="B311" s="187"/>
      <c r="C311" s="187"/>
      <c r="D311" s="187"/>
      <c r="E311" s="187"/>
      <c r="F311" s="187"/>
      <c r="G311" s="187"/>
      <c r="H311" s="187"/>
      <c r="I311" s="187"/>
    </row>
    <row r="314" spans="1:15" x14ac:dyDescent="0.25">
      <c r="A314" s="183" t="s">
        <v>607</v>
      </c>
      <c r="B314" s="183"/>
      <c r="C314" s="183"/>
      <c r="D314" s="183"/>
      <c r="E314" s="183"/>
      <c r="F314" s="183"/>
      <c r="G314" s="183"/>
      <c r="H314" s="183"/>
      <c r="I314" s="183"/>
    </row>
    <row r="315" spans="1:15" x14ac:dyDescent="0.25">
      <c r="A315" s="198" t="s">
        <v>608</v>
      </c>
      <c r="B315" s="198"/>
      <c r="C315" s="198"/>
      <c r="D315" s="198"/>
      <c r="E315" s="198"/>
      <c r="F315" s="198"/>
      <c r="G315" s="198"/>
      <c r="H315" s="198"/>
      <c r="I315" s="198"/>
    </row>
    <row r="316" spans="1:15" x14ac:dyDescent="0.25">
      <c r="F316" s="199" t="s">
        <v>609</v>
      </c>
      <c r="G316" s="199"/>
      <c r="H316" s="199"/>
      <c r="I316" s="199"/>
    </row>
    <row r="317" spans="1:15" ht="45" customHeight="1" x14ac:dyDescent="0.25">
      <c r="A317" s="196" t="s">
        <v>610</v>
      </c>
      <c r="B317" s="196"/>
      <c r="C317" s="196"/>
      <c r="D317" s="196"/>
      <c r="E317" s="196"/>
      <c r="F317" s="196"/>
      <c r="G317" s="196"/>
      <c r="H317" s="196"/>
      <c r="I317" s="196"/>
    </row>
    <row r="318" spans="1:15" ht="71.25" x14ac:dyDescent="0.25">
      <c r="A318" s="129" t="s">
        <v>403</v>
      </c>
      <c r="B318" s="130" t="s">
        <v>187</v>
      </c>
      <c r="C318" s="130" t="s">
        <v>188</v>
      </c>
      <c r="D318" s="130" t="s">
        <v>404</v>
      </c>
      <c r="E318" s="130" t="s">
        <v>189</v>
      </c>
      <c r="F318" s="130" t="s">
        <v>190</v>
      </c>
      <c r="G318" s="130" t="s">
        <v>405</v>
      </c>
      <c r="H318" s="130" t="s">
        <v>406</v>
      </c>
      <c r="I318" s="130" t="s">
        <v>191</v>
      </c>
      <c r="N318" s="120"/>
      <c r="O318" s="60"/>
    </row>
    <row r="319" spans="1:15" x14ac:dyDescent="0.25">
      <c r="A319" s="132">
        <v>1</v>
      </c>
      <c r="B319" s="132">
        <v>2</v>
      </c>
      <c r="C319" s="132">
        <v>3</v>
      </c>
      <c r="D319" s="132">
        <v>4</v>
      </c>
      <c r="E319" s="132">
        <v>5</v>
      </c>
      <c r="F319" s="132">
        <v>6</v>
      </c>
      <c r="G319" s="132">
        <v>7</v>
      </c>
      <c r="H319" s="132">
        <v>8</v>
      </c>
      <c r="I319" s="132">
        <v>9</v>
      </c>
      <c r="N319" s="120"/>
      <c r="O319" s="60"/>
    </row>
    <row r="320" spans="1:15" x14ac:dyDescent="0.25">
      <c r="A320" s="159" t="s">
        <v>52</v>
      </c>
      <c r="B320" s="135" t="s">
        <v>611</v>
      </c>
      <c r="C320" s="132">
        <v>30000</v>
      </c>
      <c r="D320" s="137"/>
      <c r="E320" s="137"/>
      <c r="F320" s="137"/>
      <c r="G320" s="137"/>
      <c r="H320" s="137"/>
      <c r="I320" s="137"/>
      <c r="N320" s="120"/>
      <c r="O320" s="60"/>
    </row>
    <row r="321" spans="1:15" x14ac:dyDescent="0.25">
      <c r="A321" s="159" t="s">
        <v>193</v>
      </c>
      <c r="B321" s="121" t="s">
        <v>612</v>
      </c>
      <c r="C321" s="132"/>
      <c r="D321" s="137">
        <v>75</v>
      </c>
      <c r="E321" s="137">
        <v>400</v>
      </c>
      <c r="F321" s="173">
        <v>72.989999999999995</v>
      </c>
      <c r="G321" s="124">
        <f>F321*D321</f>
        <v>5474.25</v>
      </c>
      <c r="H321" s="124">
        <f>ROUND(G321*1.05,2)</f>
        <v>5747.96</v>
      </c>
      <c r="I321" s="137">
        <v>6334601001</v>
      </c>
      <c r="N321" s="120"/>
      <c r="O321" s="60"/>
    </row>
    <row r="322" spans="1:15" x14ac:dyDescent="0.25">
      <c r="A322" s="159" t="s">
        <v>196</v>
      </c>
      <c r="B322" s="121" t="s">
        <v>613</v>
      </c>
      <c r="C322" s="132"/>
      <c r="D322" s="137">
        <v>1</v>
      </c>
      <c r="E322" s="137">
        <v>25</v>
      </c>
      <c r="F322" s="173">
        <v>18.25</v>
      </c>
      <c r="G322" s="124">
        <f t="shared" ref="G322:G326" si="10">F322*D322</f>
        <v>18.25</v>
      </c>
      <c r="H322" s="124">
        <f t="shared" ref="H322:H324" si="11">ROUND(G322*1.05,2)</f>
        <v>19.16</v>
      </c>
      <c r="I322" s="137">
        <v>6390579001</v>
      </c>
      <c r="N322" s="120"/>
      <c r="O322" s="60"/>
    </row>
    <row r="323" spans="1:15" x14ac:dyDescent="0.25">
      <c r="A323" s="159" t="s">
        <v>199</v>
      </c>
      <c r="B323" s="121" t="s">
        <v>614</v>
      </c>
      <c r="C323" s="132"/>
      <c r="D323" s="137">
        <v>20</v>
      </c>
      <c r="E323" s="137" t="s">
        <v>615</v>
      </c>
      <c r="F323" s="173">
        <v>20.85</v>
      </c>
      <c r="G323" s="124">
        <f t="shared" si="10"/>
        <v>417</v>
      </c>
      <c r="H323" s="124">
        <f t="shared" si="11"/>
        <v>437.85</v>
      </c>
      <c r="I323" s="137">
        <v>4820444001</v>
      </c>
      <c r="N323" s="120"/>
      <c r="O323" s="60"/>
    </row>
    <row r="324" spans="1:15" x14ac:dyDescent="0.25">
      <c r="A324" s="159" t="s">
        <v>616</v>
      </c>
      <c r="B324" s="121" t="s">
        <v>617</v>
      </c>
      <c r="C324" s="132"/>
      <c r="D324" s="137">
        <v>20</v>
      </c>
      <c r="E324" s="137" t="s">
        <v>615</v>
      </c>
      <c r="F324" s="173">
        <v>20.85</v>
      </c>
      <c r="G324" s="124">
        <f t="shared" si="10"/>
        <v>417</v>
      </c>
      <c r="H324" s="124">
        <f t="shared" si="11"/>
        <v>437.85</v>
      </c>
      <c r="I324" s="137">
        <v>4825403001</v>
      </c>
      <c r="N324" s="120"/>
      <c r="O324" s="60"/>
    </row>
    <row r="325" spans="1:15" x14ac:dyDescent="0.25">
      <c r="A325" s="159" t="s">
        <v>53</v>
      </c>
      <c r="B325" s="140" t="s">
        <v>618</v>
      </c>
      <c r="C325" s="132">
        <v>9000</v>
      </c>
      <c r="D325" s="137"/>
      <c r="E325" s="137"/>
      <c r="F325" s="173"/>
      <c r="G325" s="124"/>
      <c r="H325" s="124"/>
      <c r="I325" s="137"/>
      <c r="N325" s="120"/>
      <c r="O325" s="60"/>
    </row>
    <row r="326" spans="1:15" x14ac:dyDescent="0.25">
      <c r="A326" s="159" t="s">
        <v>201</v>
      </c>
      <c r="B326" s="121" t="s">
        <v>619</v>
      </c>
      <c r="C326" s="132"/>
      <c r="D326" s="137">
        <v>23</v>
      </c>
      <c r="E326" s="137">
        <v>400</v>
      </c>
      <c r="F326" s="173">
        <v>160</v>
      </c>
      <c r="G326" s="124">
        <f t="shared" si="10"/>
        <v>3680</v>
      </c>
      <c r="H326" s="124">
        <f>ROUND(G326*1.21,2)</f>
        <v>4452.8</v>
      </c>
      <c r="I326" s="137">
        <v>6390552001</v>
      </c>
      <c r="N326" s="120"/>
      <c r="O326" s="60"/>
    </row>
    <row r="327" spans="1:15" x14ac:dyDescent="0.25">
      <c r="A327" s="185" t="s">
        <v>620</v>
      </c>
      <c r="B327" s="185"/>
      <c r="C327" s="185"/>
      <c r="D327" s="185"/>
      <c r="E327" s="185"/>
      <c r="F327" s="185"/>
      <c r="G327" s="153">
        <f>SUM(G321:G326)</f>
        <v>10006.5</v>
      </c>
      <c r="H327" s="153">
        <f>SUM(H321:H326)</f>
        <v>11095.62</v>
      </c>
      <c r="I327" s="133"/>
      <c r="N327" s="120"/>
      <c r="O327" s="60"/>
    </row>
    <row r="328" spans="1:15" x14ac:dyDescent="0.25">
      <c r="A328" s="126" t="s">
        <v>516</v>
      </c>
      <c r="N328" s="120"/>
      <c r="O328" s="60"/>
    </row>
    <row r="329" spans="1:15" x14ac:dyDescent="0.25">
      <c r="A329" s="195" t="s">
        <v>517</v>
      </c>
      <c r="B329" s="195"/>
      <c r="C329" s="195"/>
      <c r="D329" s="195"/>
      <c r="E329" s="195"/>
      <c r="F329" s="195"/>
      <c r="G329" s="195"/>
      <c r="H329" s="195"/>
      <c r="I329" s="195"/>
      <c r="N329" s="120"/>
      <c r="O329" s="60"/>
    </row>
    <row r="330" spans="1:15" ht="27" customHeight="1" x14ac:dyDescent="0.25">
      <c r="A330" s="196" t="s">
        <v>394</v>
      </c>
      <c r="B330" s="196"/>
      <c r="C330" s="196"/>
      <c r="D330" s="196"/>
      <c r="E330" s="196"/>
      <c r="F330" s="196"/>
      <c r="G330" s="196"/>
      <c r="H330" s="196"/>
      <c r="I330" s="196"/>
      <c r="N330" s="120"/>
      <c r="O330" s="60"/>
    </row>
    <row r="331" spans="1:15" x14ac:dyDescent="0.25">
      <c r="A331" s="195" t="s">
        <v>621</v>
      </c>
      <c r="B331" s="195"/>
      <c r="C331" s="195"/>
      <c r="D331" s="195"/>
      <c r="E331" s="195"/>
      <c r="F331" s="195"/>
      <c r="G331" s="195"/>
      <c r="H331" s="195"/>
      <c r="I331" s="195"/>
      <c r="N331" s="120"/>
      <c r="O331" s="60"/>
    </row>
    <row r="332" spans="1:15" x14ac:dyDescent="0.25">
      <c r="A332" s="195" t="s">
        <v>622</v>
      </c>
      <c r="B332" s="195"/>
      <c r="C332" s="195"/>
      <c r="D332" s="195"/>
      <c r="E332" s="195"/>
      <c r="F332" s="195"/>
      <c r="G332" s="195"/>
      <c r="H332" s="195"/>
      <c r="I332" s="195"/>
      <c r="N332" s="120"/>
      <c r="O332" s="60"/>
    </row>
    <row r="333" spans="1:15" x14ac:dyDescent="0.25">
      <c r="A333" s="195" t="s">
        <v>397</v>
      </c>
      <c r="B333" s="195"/>
      <c r="C333" s="195"/>
      <c r="D333" s="195"/>
      <c r="E333" s="195"/>
      <c r="F333" s="195"/>
      <c r="G333" s="195"/>
      <c r="H333" s="195"/>
      <c r="I333" s="195"/>
      <c r="N333" s="120"/>
      <c r="O333" s="60"/>
    </row>
    <row r="334" spans="1:15" ht="40.5" customHeight="1" x14ac:dyDescent="0.25">
      <c r="A334" s="187" t="s">
        <v>518</v>
      </c>
      <c r="B334" s="187"/>
      <c r="C334" s="187"/>
      <c r="D334" s="187"/>
      <c r="E334" s="187"/>
      <c r="F334" s="187"/>
      <c r="G334" s="187"/>
      <c r="H334" s="187"/>
      <c r="I334" s="187"/>
      <c r="N334" s="120"/>
      <c r="O334" s="60"/>
    </row>
    <row r="335" spans="1:15" x14ac:dyDescent="0.25">
      <c r="N335" s="120"/>
      <c r="O335" s="60"/>
    </row>
    <row r="336" spans="1:15" x14ac:dyDescent="0.25">
      <c r="A336" s="197" t="s">
        <v>623</v>
      </c>
      <c r="B336" s="197"/>
      <c r="C336" s="197"/>
      <c r="D336" s="197"/>
      <c r="E336" s="197"/>
      <c r="F336" s="197"/>
      <c r="G336" s="197"/>
      <c r="H336" s="197"/>
      <c r="I336" s="197"/>
      <c r="N336" s="120"/>
      <c r="O336" s="60"/>
    </row>
    <row r="337" spans="1:15" x14ac:dyDescent="0.25">
      <c r="A337" s="197" t="s">
        <v>624</v>
      </c>
      <c r="B337" s="197"/>
      <c r="C337" s="197"/>
      <c r="D337" s="197"/>
      <c r="E337" s="197"/>
      <c r="F337" s="197"/>
      <c r="G337" s="197"/>
      <c r="H337" s="197"/>
      <c r="I337" s="197"/>
      <c r="N337" s="120"/>
      <c r="O337" s="60"/>
    </row>
    <row r="338" spans="1:15" x14ac:dyDescent="0.25">
      <c r="F338" s="199" t="s">
        <v>521</v>
      </c>
      <c r="G338" s="199"/>
      <c r="H338" s="199"/>
      <c r="I338" s="199"/>
      <c r="N338" s="120"/>
      <c r="O338" s="60"/>
    </row>
    <row r="339" spans="1:15" ht="71.25" x14ac:dyDescent="0.25">
      <c r="A339" s="129" t="s">
        <v>403</v>
      </c>
      <c r="B339" s="130" t="s">
        <v>187</v>
      </c>
      <c r="C339" s="130" t="s">
        <v>188</v>
      </c>
      <c r="D339" s="130" t="s">
        <v>404</v>
      </c>
      <c r="E339" s="130" t="s">
        <v>189</v>
      </c>
      <c r="F339" s="130" t="s">
        <v>190</v>
      </c>
      <c r="G339" s="130" t="s">
        <v>405</v>
      </c>
      <c r="H339" s="130" t="s">
        <v>406</v>
      </c>
      <c r="I339" s="130" t="s">
        <v>191</v>
      </c>
      <c r="N339" s="120"/>
      <c r="O339" s="60"/>
    </row>
    <row r="340" spans="1:15" x14ac:dyDescent="0.25">
      <c r="A340" s="132">
        <v>1</v>
      </c>
      <c r="B340" s="132">
        <v>2</v>
      </c>
      <c r="C340" s="132">
        <v>3</v>
      </c>
      <c r="D340" s="132">
        <v>4</v>
      </c>
      <c r="E340" s="132">
        <v>5</v>
      </c>
      <c r="F340" s="132">
        <v>6</v>
      </c>
      <c r="G340" s="132">
        <v>7</v>
      </c>
      <c r="H340" s="132">
        <v>8</v>
      </c>
      <c r="I340" s="132">
        <v>9</v>
      </c>
      <c r="N340" s="120"/>
      <c r="O340" s="60"/>
    </row>
    <row r="341" spans="1:15" x14ac:dyDescent="0.25">
      <c r="A341" s="159" t="s">
        <v>52</v>
      </c>
      <c r="B341" s="160" t="s">
        <v>625</v>
      </c>
      <c r="C341" s="139">
        <v>40000</v>
      </c>
      <c r="D341" s="139"/>
      <c r="E341" s="139"/>
      <c r="F341" s="139"/>
      <c r="G341" s="139"/>
      <c r="H341" s="139"/>
      <c r="I341" s="139"/>
      <c r="N341" s="120"/>
      <c r="O341" s="60"/>
    </row>
    <row r="342" spans="1:15" x14ac:dyDescent="0.25">
      <c r="A342" s="159" t="s">
        <v>193</v>
      </c>
      <c r="B342" s="121" t="s">
        <v>626</v>
      </c>
      <c r="C342" s="139"/>
      <c r="D342" s="139">
        <v>800</v>
      </c>
      <c r="E342" s="139" t="s">
        <v>627</v>
      </c>
      <c r="F342" s="172">
        <v>13.9</v>
      </c>
      <c r="G342" s="138">
        <f>F342*D342</f>
        <v>11120</v>
      </c>
      <c r="H342" s="138">
        <f>ROUND(G342*1.05,2)</f>
        <v>11676</v>
      </c>
      <c r="I342" s="139">
        <v>5942861044</v>
      </c>
      <c r="N342" s="120"/>
      <c r="O342" s="60"/>
    </row>
    <row r="343" spans="1:15" x14ac:dyDescent="0.25">
      <c r="A343" s="159" t="s">
        <v>196</v>
      </c>
      <c r="B343" s="121" t="s">
        <v>628</v>
      </c>
      <c r="C343" s="139"/>
      <c r="D343" s="139">
        <v>16</v>
      </c>
      <c r="E343" s="139" t="s">
        <v>629</v>
      </c>
      <c r="F343" s="172">
        <v>13.03</v>
      </c>
      <c r="G343" s="138">
        <f>F343*D343</f>
        <v>208.48</v>
      </c>
      <c r="H343" s="138">
        <f>ROUND(G343*1.05,2)</f>
        <v>218.9</v>
      </c>
      <c r="I343" s="139">
        <v>5078164001</v>
      </c>
      <c r="N343" s="120"/>
      <c r="O343" s="60"/>
    </row>
    <row r="344" spans="1:15" x14ac:dyDescent="0.25">
      <c r="A344" s="200" t="s">
        <v>630</v>
      </c>
      <c r="B344" s="200"/>
      <c r="C344" s="200"/>
      <c r="D344" s="200"/>
      <c r="E344" s="200"/>
      <c r="F344" s="200"/>
      <c r="G344" s="153">
        <f>SUM(G342:G343)</f>
        <v>11328.48</v>
      </c>
      <c r="H344" s="153">
        <f>SUM(H342:H343)</f>
        <v>11894.9</v>
      </c>
      <c r="I344" s="133"/>
      <c r="N344" s="120"/>
      <c r="O344" s="60"/>
    </row>
    <row r="345" spans="1:15" x14ac:dyDescent="0.25">
      <c r="A345" s="161" t="s">
        <v>516</v>
      </c>
      <c r="N345" s="120"/>
      <c r="O345" s="60"/>
    </row>
    <row r="346" spans="1:15" x14ac:dyDescent="0.25">
      <c r="A346" s="195" t="s">
        <v>517</v>
      </c>
      <c r="B346" s="195"/>
      <c r="C346" s="195"/>
      <c r="D346" s="195"/>
      <c r="E346" s="195"/>
      <c r="F346" s="195"/>
      <c r="G346" s="195"/>
      <c r="H346" s="195"/>
      <c r="I346" s="195"/>
      <c r="N346" s="120"/>
      <c r="O346" s="60"/>
    </row>
    <row r="347" spans="1:15" ht="26.25" customHeight="1" x14ac:dyDescent="0.25">
      <c r="A347" s="196" t="s">
        <v>394</v>
      </c>
      <c r="B347" s="196"/>
      <c r="C347" s="196"/>
      <c r="D347" s="196"/>
      <c r="E347" s="196"/>
      <c r="F347" s="196"/>
      <c r="G347" s="196"/>
      <c r="H347" s="196"/>
      <c r="I347" s="196"/>
      <c r="N347" s="120"/>
      <c r="O347" s="60"/>
    </row>
    <row r="348" spans="1:15" x14ac:dyDescent="0.25">
      <c r="A348" s="195" t="s">
        <v>395</v>
      </c>
      <c r="B348" s="195"/>
      <c r="C348" s="195"/>
      <c r="D348" s="195"/>
      <c r="E348" s="195"/>
      <c r="F348" s="195"/>
      <c r="G348" s="195"/>
      <c r="H348" s="195"/>
      <c r="I348" s="195"/>
      <c r="N348" s="120"/>
      <c r="O348" s="60"/>
    </row>
    <row r="349" spans="1:15" x14ac:dyDescent="0.25">
      <c r="A349" s="195" t="s">
        <v>631</v>
      </c>
      <c r="B349" s="195"/>
      <c r="C349" s="195"/>
      <c r="D349" s="195"/>
      <c r="E349" s="195"/>
      <c r="F349" s="195"/>
      <c r="G349" s="195"/>
      <c r="H349" s="195"/>
      <c r="I349" s="195"/>
      <c r="N349" s="120"/>
      <c r="O349" s="60"/>
    </row>
    <row r="350" spans="1:15" x14ac:dyDescent="0.25">
      <c r="A350" s="195" t="s">
        <v>397</v>
      </c>
      <c r="B350" s="195"/>
      <c r="C350" s="195"/>
      <c r="D350" s="195"/>
      <c r="E350" s="195"/>
      <c r="F350" s="195"/>
      <c r="G350" s="195"/>
      <c r="H350" s="195"/>
      <c r="I350" s="195"/>
      <c r="N350" s="120"/>
      <c r="O350" s="60"/>
    </row>
    <row r="351" spans="1:15" ht="40.5" customHeight="1" x14ac:dyDescent="0.25">
      <c r="A351" s="187" t="s">
        <v>518</v>
      </c>
      <c r="B351" s="187"/>
      <c r="C351" s="187"/>
      <c r="D351" s="187"/>
      <c r="E351" s="187"/>
      <c r="F351" s="187"/>
      <c r="G351" s="187"/>
      <c r="H351" s="187"/>
      <c r="I351" s="187"/>
      <c r="N351" s="120"/>
      <c r="O351" s="60"/>
    </row>
    <row r="352" spans="1:15" x14ac:dyDescent="0.25">
      <c r="N352" s="120"/>
      <c r="O352" s="60"/>
    </row>
    <row r="353" spans="1:15" ht="33.75" customHeight="1" x14ac:dyDescent="0.25">
      <c r="A353" s="201" t="s">
        <v>632</v>
      </c>
      <c r="B353" s="201"/>
      <c r="C353" s="201"/>
      <c r="D353" s="201"/>
      <c r="E353" s="201"/>
      <c r="F353" s="201"/>
      <c r="G353" s="201"/>
      <c r="H353" s="201"/>
      <c r="I353" s="201"/>
      <c r="N353" s="120"/>
      <c r="O353" s="60"/>
    </row>
    <row r="354" spans="1:15" x14ac:dyDescent="0.25">
      <c r="A354" s="202" t="s">
        <v>633</v>
      </c>
      <c r="B354" s="202"/>
      <c r="C354" s="202"/>
      <c r="D354" s="202"/>
      <c r="E354" s="202"/>
      <c r="F354" s="202"/>
      <c r="G354" s="202"/>
      <c r="H354" s="202"/>
      <c r="I354" s="202"/>
      <c r="N354" s="120"/>
      <c r="O354" s="60"/>
    </row>
    <row r="355" spans="1:15" x14ac:dyDescent="0.25">
      <c r="G355" s="128"/>
      <c r="H355" s="199" t="s">
        <v>521</v>
      </c>
      <c r="I355" s="199"/>
      <c r="N355" s="120"/>
      <c r="O355" s="60"/>
    </row>
    <row r="356" spans="1:15" ht="15.75" customHeight="1" x14ac:dyDescent="0.25">
      <c r="A356" s="187" t="s">
        <v>634</v>
      </c>
      <c r="B356" s="187"/>
      <c r="C356" s="187"/>
      <c r="D356" s="187"/>
      <c r="E356" s="187"/>
      <c r="F356" s="187"/>
      <c r="G356" s="187"/>
      <c r="H356" s="187"/>
      <c r="I356" s="187"/>
      <c r="N356" s="120"/>
      <c r="O356" s="60"/>
    </row>
    <row r="357" spans="1:15" ht="71.25" x14ac:dyDescent="0.25">
      <c r="A357" s="129" t="s">
        <v>403</v>
      </c>
      <c r="B357" s="130" t="s">
        <v>187</v>
      </c>
      <c r="C357" s="130" t="s">
        <v>188</v>
      </c>
      <c r="D357" s="130" t="s">
        <v>404</v>
      </c>
      <c r="E357" s="130" t="s">
        <v>189</v>
      </c>
      <c r="F357" s="130" t="s">
        <v>190</v>
      </c>
      <c r="G357" s="130" t="s">
        <v>405</v>
      </c>
      <c r="H357" s="130" t="s">
        <v>406</v>
      </c>
      <c r="I357" s="130" t="s">
        <v>191</v>
      </c>
      <c r="N357" s="120"/>
      <c r="O357" s="60"/>
    </row>
    <row r="358" spans="1:15" x14ac:dyDescent="0.25">
      <c r="A358" s="132">
        <v>1</v>
      </c>
      <c r="B358" s="132">
        <v>2</v>
      </c>
      <c r="C358" s="132">
        <v>3</v>
      </c>
      <c r="D358" s="132">
        <v>4</v>
      </c>
      <c r="E358" s="132">
        <v>5</v>
      </c>
      <c r="F358" s="132">
        <v>6</v>
      </c>
      <c r="G358" s="132">
        <v>7</v>
      </c>
      <c r="H358" s="132">
        <v>8</v>
      </c>
      <c r="I358" s="132">
        <v>9</v>
      </c>
      <c r="N358" s="120"/>
      <c r="O358" s="60"/>
    </row>
    <row r="359" spans="1:15" ht="38.25" x14ac:dyDescent="0.25">
      <c r="A359" s="159" t="s">
        <v>52</v>
      </c>
      <c r="B359" s="140" t="s">
        <v>635</v>
      </c>
      <c r="C359" s="162">
        <v>5500</v>
      </c>
      <c r="D359" s="132"/>
      <c r="E359" s="162"/>
      <c r="F359" s="132"/>
      <c r="G359" s="132"/>
      <c r="H359" s="132"/>
      <c r="I359" s="132"/>
      <c r="N359" s="120"/>
      <c r="O359" s="60"/>
    </row>
    <row r="360" spans="1:15" x14ac:dyDescent="0.25">
      <c r="A360" s="159" t="s">
        <v>193</v>
      </c>
      <c r="B360" s="121" t="s">
        <v>636</v>
      </c>
      <c r="C360" s="137"/>
      <c r="D360" s="137">
        <v>12</v>
      </c>
      <c r="E360" s="137" t="s">
        <v>637</v>
      </c>
      <c r="F360" s="173">
        <v>634.27</v>
      </c>
      <c r="G360" s="124">
        <f>F360*D360</f>
        <v>7611.24</v>
      </c>
      <c r="H360" s="124">
        <f>ROUND(G360*1.05,2)</f>
        <v>7991.8</v>
      </c>
      <c r="I360" s="137">
        <v>5170052001</v>
      </c>
      <c r="N360" s="120"/>
      <c r="O360" s="60"/>
    </row>
    <row r="361" spans="1:15" x14ac:dyDescent="0.25">
      <c r="A361" s="159" t="s">
        <v>196</v>
      </c>
      <c r="B361" s="121" t="s">
        <v>638</v>
      </c>
      <c r="C361" s="137"/>
      <c r="D361" s="137">
        <v>18</v>
      </c>
      <c r="E361" s="137" t="s">
        <v>639</v>
      </c>
      <c r="F361" s="173">
        <v>275.14</v>
      </c>
      <c r="G361" s="124">
        <f t="shared" ref="G361:G363" si="12">F361*D361</f>
        <v>4952.5199999999995</v>
      </c>
      <c r="H361" s="124">
        <f t="shared" ref="H361:H362" si="13">ROUND(G361*1.05,2)</f>
        <v>5200.1499999999996</v>
      </c>
      <c r="I361" s="137">
        <v>5170478001</v>
      </c>
      <c r="N361" s="120"/>
      <c r="O361" s="60"/>
    </row>
    <row r="362" spans="1:15" x14ac:dyDescent="0.25">
      <c r="A362" s="159" t="s">
        <v>199</v>
      </c>
      <c r="B362" s="121" t="s">
        <v>640</v>
      </c>
      <c r="C362" s="137"/>
      <c r="D362" s="137">
        <v>31</v>
      </c>
      <c r="E362" s="137" t="s">
        <v>641</v>
      </c>
      <c r="F362" s="173">
        <v>92.68</v>
      </c>
      <c r="G362" s="124">
        <f t="shared" si="12"/>
        <v>2873.0800000000004</v>
      </c>
      <c r="H362" s="124">
        <f t="shared" si="13"/>
        <v>3016.73</v>
      </c>
      <c r="I362" s="137">
        <v>5169933001</v>
      </c>
      <c r="N362" s="120"/>
      <c r="O362" s="60"/>
    </row>
    <row r="363" spans="1:15" x14ac:dyDescent="0.25">
      <c r="A363" s="159" t="s">
        <v>616</v>
      </c>
      <c r="B363" s="121" t="s">
        <v>642</v>
      </c>
      <c r="C363" s="137"/>
      <c r="D363" s="137">
        <v>6</v>
      </c>
      <c r="E363" s="137" t="s">
        <v>643</v>
      </c>
      <c r="F363" s="173">
        <v>10.14</v>
      </c>
      <c r="G363" s="124">
        <f t="shared" si="12"/>
        <v>60.84</v>
      </c>
      <c r="H363" s="124">
        <f>ROUND(G363*1.21,2)</f>
        <v>73.62</v>
      </c>
      <c r="I363" s="137">
        <v>5082595001</v>
      </c>
      <c r="N363" s="120"/>
      <c r="O363" s="60"/>
    </row>
    <row r="364" spans="1:15" x14ac:dyDescent="0.25">
      <c r="A364" s="185" t="s">
        <v>644</v>
      </c>
      <c r="B364" s="185"/>
      <c r="C364" s="185"/>
      <c r="D364" s="185"/>
      <c r="E364" s="185"/>
      <c r="F364" s="185"/>
      <c r="G364" s="153">
        <f>SUM(G360:G363)</f>
        <v>15497.679999999998</v>
      </c>
      <c r="H364" s="153">
        <f>SUM(H360:H363)</f>
        <v>16282.300000000001</v>
      </c>
      <c r="I364" s="133"/>
      <c r="N364" s="120"/>
      <c r="O364" s="60"/>
    </row>
    <row r="365" spans="1:15" x14ac:dyDescent="0.25">
      <c r="A365" s="161" t="s">
        <v>516</v>
      </c>
      <c r="N365" s="120"/>
      <c r="O365" s="60"/>
    </row>
    <row r="366" spans="1:15" x14ac:dyDescent="0.25">
      <c r="A366" s="195" t="s">
        <v>517</v>
      </c>
      <c r="B366" s="195"/>
      <c r="C366" s="195"/>
      <c r="D366" s="195"/>
      <c r="E366" s="195"/>
      <c r="F366" s="195"/>
      <c r="G366" s="195"/>
      <c r="H366" s="195"/>
      <c r="I366" s="195"/>
      <c r="N366" s="120"/>
      <c r="O366" s="60"/>
    </row>
    <row r="367" spans="1:15" ht="27.75" customHeight="1" x14ac:dyDescent="0.25">
      <c r="A367" s="196" t="s">
        <v>394</v>
      </c>
      <c r="B367" s="196"/>
      <c r="C367" s="196"/>
      <c r="D367" s="196"/>
      <c r="E367" s="196"/>
      <c r="F367" s="196"/>
      <c r="G367" s="196"/>
      <c r="H367" s="196"/>
      <c r="I367" s="196"/>
      <c r="N367" s="120"/>
      <c r="O367" s="60"/>
    </row>
    <row r="368" spans="1:15" x14ac:dyDescent="0.25">
      <c r="A368" s="195" t="s">
        <v>395</v>
      </c>
      <c r="B368" s="195"/>
      <c r="C368" s="195"/>
      <c r="D368" s="195"/>
      <c r="E368" s="195"/>
      <c r="F368" s="195"/>
      <c r="G368" s="195"/>
      <c r="H368" s="195"/>
      <c r="I368" s="195"/>
      <c r="N368" s="120"/>
      <c r="O368" s="60"/>
    </row>
    <row r="369" spans="1:15" x14ac:dyDescent="0.25">
      <c r="A369" s="195" t="s">
        <v>606</v>
      </c>
      <c r="B369" s="195"/>
      <c r="C369" s="195"/>
      <c r="D369" s="195"/>
      <c r="E369" s="195"/>
      <c r="F369" s="195"/>
      <c r="G369" s="195"/>
      <c r="H369" s="195"/>
      <c r="I369" s="195"/>
      <c r="N369" s="120"/>
      <c r="O369" s="60"/>
    </row>
    <row r="370" spans="1:15" x14ac:dyDescent="0.25">
      <c r="A370" s="195" t="s">
        <v>397</v>
      </c>
      <c r="B370" s="195"/>
      <c r="C370" s="195"/>
      <c r="D370" s="195"/>
      <c r="E370" s="195"/>
      <c r="F370" s="195"/>
      <c r="G370" s="195"/>
      <c r="H370" s="195"/>
      <c r="I370" s="195"/>
      <c r="N370" s="120"/>
      <c r="O370" s="60"/>
    </row>
    <row r="371" spans="1:15" ht="41.25" customHeight="1" x14ac:dyDescent="0.25">
      <c r="A371" s="187" t="s">
        <v>518</v>
      </c>
      <c r="B371" s="187"/>
      <c r="C371" s="187"/>
      <c r="D371" s="187"/>
      <c r="E371" s="187"/>
      <c r="F371" s="187"/>
      <c r="G371" s="187"/>
      <c r="H371" s="187"/>
      <c r="I371" s="187"/>
      <c r="N371" s="120"/>
      <c r="O371" s="60"/>
    </row>
    <row r="372" spans="1:15" x14ac:dyDescent="0.25">
      <c r="N372" s="120"/>
      <c r="O372" s="60"/>
    </row>
    <row r="373" spans="1:15" x14ac:dyDescent="0.25">
      <c r="A373" s="197" t="s">
        <v>645</v>
      </c>
      <c r="B373" s="197"/>
      <c r="C373" s="197"/>
      <c r="D373" s="197"/>
      <c r="E373" s="197"/>
      <c r="F373" s="197"/>
      <c r="G373" s="197"/>
      <c r="H373" s="197"/>
      <c r="I373" s="197"/>
      <c r="N373" s="120"/>
      <c r="O373" s="60"/>
    </row>
    <row r="374" spans="1:15" x14ac:dyDescent="0.25">
      <c r="A374" s="197" t="s">
        <v>646</v>
      </c>
      <c r="B374" s="197"/>
      <c r="C374" s="197"/>
      <c r="D374" s="197"/>
      <c r="E374" s="197"/>
      <c r="F374" s="197"/>
      <c r="G374" s="197"/>
      <c r="H374" s="197"/>
      <c r="I374" s="197"/>
      <c r="N374" s="120"/>
      <c r="O374" s="60"/>
    </row>
    <row r="375" spans="1:15" x14ac:dyDescent="0.25">
      <c r="G375" s="199" t="s">
        <v>521</v>
      </c>
      <c r="H375" s="199"/>
      <c r="I375" s="199"/>
      <c r="N375" s="120"/>
      <c r="O375" s="60"/>
    </row>
    <row r="376" spans="1:15" ht="15.75" customHeight="1" x14ac:dyDescent="0.25">
      <c r="A376" s="187" t="s">
        <v>647</v>
      </c>
      <c r="B376" s="187"/>
      <c r="C376" s="187"/>
      <c r="D376" s="187"/>
      <c r="E376" s="187"/>
      <c r="F376" s="187"/>
      <c r="G376" s="187"/>
      <c r="H376" s="187"/>
      <c r="I376" s="187"/>
      <c r="N376" s="120"/>
      <c r="O376" s="60"/>
    </row>
    <row r="377" spans="1:15" ht="71.25" x14ac:dyDescent="0.25">
      <c r="A377" s="129" t="s">
        <v>403</v>
      </c>
      <c r="B377" s="130" t="s">
        <v>187</v>
      </c>
      <c r="C377" s="130" t="s">
        <v>188</v>
      </c>
      <c r="D377" s="130" t="s">
        <v>404</v>
      </c>
      <c r="E377" s="130" t="s">
        <v>189</v>
      </c>
      <c r="F377" s="130" t="s">
        <v>190</v>
      </c>
      <c r="G377" s="130" t="s">
        <v>405</v>
      </c>
      <c r="H377" s="130" t="s">
        <v>406</v>
      </c>
      <c r="I377" s="130" t="s">
        <v>191</v>
      </c>
      <c r="J377" s="176" t="s">
        <v>696</v>
      </c>
      <c r="K377" s="13"/>
      <c r="N377" s="120"/>
      <c r="O377" s="60"/>
    </row>
    <row r="378" spans="1:15" x14ac:dyDescent="0.25">
      <c r="A378" s="132">
        <v>1</v>
      </c>
      <c r="B378" s="132">
        <v>2</v>
      </c>
      <c r="C378" s="132">
        <v>3</v>
      </c>
      <c r="D378" s="132">
        <v>4</v>
      </c>
      <c r="E378" s="132">
        <v>5</v>
      </c>
      <c r="F378" s="132">
        <v>6</v>
      </c>
      <c r="G378" s="132">
        <v>7</v>
      </c>
      <c r="H378" s="132">
        <v>8</v>
      </c>
      <c r="I378" s="132">
        <v>9</v>
      </c>
      <c r="N378" s="120"/>
      <c r="O378" s="60"/>
    </row>
    <row r="379" spans="1:15" ht="63.75" x14ac:dyDescent="0.25">
      <c r="A379" s="159" t="s">
        <v>52</v>
      </c>
      <c r="B379" s="140" t="s">
        <v>648</v>
      </c>
      <c r="C379" s="137">
        <v>47000</v>
      </c>
      <c r="D379" s="139"/>
      <c r="E379" s="139"/>
      <c r="F379" s="139"/>
      <c r="G379" s="139"/>
      <c r="H379" s="139"/>
      <c r="I379" s="139"/>
      <c r="N379" s="120"/>
      <c r="O379" s="60"/>
    </row>
    <row r="380" spans="1:15" x14ac:dyDescent="0.25">
      <c r="A380" s="159" t="s">
        <v>193</v>
      </c>
      <c r="B380" s="163" t="s">
        <v>649</v>
      </c>
      <c r="C380" s="139"/>
      <c r="D380" s="139">
        <v>94</v>
      </c>
      <c r="E380" s="164" t="s">
        <v>650</v>
      </c>
      <c r="F380" s="172">
        <v>36.799999999999997</v>
      </c>
      <c r="G380" s="138">
        <f>F380*D380</f>
        <v>3459.2</v>
      </c>
      <c r="H380" s="138">
        <f>ROUND(G380*1.05,2)</f>
        <v>3632.16</v>
      </c>
      <c r="I380" s="164" t="s">
        <v>651</v>
      </c>
      <c r="J380" s="155">
        <v>6510167001</v>
      </c>
      <c r="N380" s="120"/>
      <c r="O380" s="60"/>
    </row>
    <row r="381" spans="1:15" x14ac:dyDescent="0.25">
      <c r="A381" s="159" t="s">
        <v>196</v>
      </c>
      <c r="B381" s="165" t="s">
        <v>652</v>
      </c>
      <c r="C381" s="139"/>
      <c r="D381" s="139">
        <v>12</v>
      </c>
      <c r="E381" s="164" t="s">
        <v>653</v>
      </c>
      <c r="F381" s="172">
        <v>40</v>
      </c>
      <c r="G381" s="138">
        <f t="shared" ref="G381:G393" si="14">F381*D381</f>
        <v>480</v>
      </c>
      <c r="H381" s="138">
        <f t="shared" ref="H381:H393" si="15">ROUND(G381*1.05,2)</f>
        <v>504</v>
      </c>
      <c r="I381" s="139" t="s">
        <v>654</v>
      </c>
      <c r="J381" s="155">
        <v>6510213001</v>
      </c>
      <c r="N381" s="120"/>
      <c r="O381" s="60"/>
    </row>
    <row r="382" spans="1:15" x14ac:dyDescent="0.25">
      <c r="A382" s="159" t="s">
        <v>199</v>
      </c>
      <c r="B382" s="165" t="s">
        <v>655</v>
      </c>
      <c r="C382" s="139"/>
      <c r="D382" s="139">
        <v>11</v>
      </c>
      <c r="E382" s="164" t="s">
        <v>653</v>
      </c>
      <c r="F382" s="172">
        <v>243</v>
      </c>
      <c r="G382" s="138">
        <f t="shared" si="14"/>
        <v>2673</v>
      </c>
      <c r="H382" s="138">
        <f t="shared" si="15"/>
        <v>2806.65</v>
      </c>
      <c r="I382" s="139" t="s">
        <v>656</v>
      </c>
      <c r="J382" s="155">
        <v>6510221001</v>
      </c>
      <c r="N382" s="120"/>
      <c r="O382" s="60"/>
    </row>
    <row r="383" spans="1:15" x14ac:dyDescent="0.25">
      <c r="A383" s="159" t="s">
        <v>616</v>
      </c>
      <c r="B383" s="165" t="s">
        <v>657</v>
      </c>
      <c r="C383" s="139"/>
      <c r="D383" s="139">
        <v>4</v>
      </c>
      <c r="E383" s="164" t="s">
        <v>658</v>
      </c>
      <c r="F383" s="172">
        <v>111.05</v>
      </c>
      <c r="G383" s="138">
        <f t="shared" si="14"/>
        <v>444.2</v>
      </c>
      <c r="H383" s="138">
        <f t="shared" si="15"/>
        <v>466.41</v>
      </c>
      <c r="I383" s="139" t="s">
        <v>659</v>
      </c>
      <c r="J383" s="155">
        <v>6510205001</v>
      </c>
      <c r="N383" s="120"/>
      <c r="O383" s="60"/>
    </row>
    <row r="384" spans="1:15" x14ac:dyDescent="0.25">
      <c r="A384" s="159" t="s">
        <v>660</v>
      </c>
      <c r="B384" s="121" t="s">
        <v>661</v>
      </c>
      <c r="C384" s="139"/>
      <c r="D384" s="139">
        <v>7</v>
      </c>
      <c r="E384" s="164" t="s">
        <v>662</v>
      </c>
      <c r="F384" s="172">
        <v>73.58</v>
      </c>
      <c r="G384" s="138">
        <f t="shared" si="14"/>
        <v>515.05999999999995</v>
      </c>
      <c r="H384" s="138">
        <f t="shared" si="15"/>
        <v>540.80999999999995</v>
      </c>
      <c r="I384" s="139" t="s">
        <v>663</v>
      </c>
      <c r="J384" s="155">
        <v>6510248001</v>
      </c>
      <c r="N384" s="120"/>
      <c r="O384" s="60"/>
    </row>
    <row r="385" spans="1:15" x14ac:dyDescent="0.25">
      <c r="A385" s="159" t="s">
        <v>664</v>
      </c>
      <c r="B385" s="121" t="s">
        <v>665</v>
      </c>
      <c r="C385" s="139"/>
      <c r="D385" s="139">
        <v>12</v>
      </c>
      <c r="E385" s="164" t="s">
        <v>666</v>
      </c>
      <c r="F385" s="172">
        <v>411.71</v>
      </c>
      <c r="G385" s="138">
        <f t="shared" si="14"/>
        <v>4940.5199999999995</v>
      </c>
      <c r="H385" s="138">
        <f t="shared" si="15"/>
        <v>5187.55</v>
      </c>
      <c r="I385" s="139" t="s">
        <v>667</v>
      </c>
      <c r="J385" s="155">
        <v>6510256001</v>
      </c>
      <c r="N385" s="120"/>
      <c r="O385" s="60"/>
    </row>
    <row r="386" spans="1:15" x14ac:dyDescent="0.25">
      <c r="A386" s="159" t="s">
        <v>668</v>
      </c>
      <c r="B386" s="121" t="s">
        <v>669</v>
      </c>
      <c r="C386" s="139"/>
      <c r="D386" s="139">
        <v>2</v>
      </c>
      <c r="E386" s="164" t="s">
        <v>670</v>
      </c>
      <c r="F386" s="172">
        <v>241.95</v>
      </c>
      <c r="G386" s="138">
        <f t="shared" si="14"/>
        <v>483.9</v>
      </c>
      <c r="H386" s="138">
        <f t="shared" si="15"/>
        <v>508.1</v>
      </c>
      <c r="I386" s="166" t="s">
        <v>671</v>
      </c>
      <c r="J386" s="155">
        <v>6510299001</v>
      </c>
      <c r="N386" s="120"/>
      <c r="O386" s="60"/>
    </row>
    <row r="387" spans="1:15" x14ac:dyDescent="0.25">
      <c r="A387" s="159" t="s">
        <v>672</v>
      </c>
      <c r="B387" s="167" t="s">
        <v>673</v>
      </c>
      <c r="C387" s="139"/>
      <c r="D387" s="139">
        <v>45</v>
      </c>
      <c r="E387" s="164" t="s">
        <v>346</v>
      </c>
      <c r="F387" s="172">
        <v>36.58</v>
      </c>
      <c r="G387" s="138">
        <f t="shared" si="14"/>
        <v>1646.1</v>
      </c>
      <c r="H387" s="138">
        <f t="shared" si="15"/>
        <v>1728.41</v>
      </c>
      <c r="I387" s="168" t="s">
        <v>674</v>
      </c>
      <c r="J387" s="169" t="s">
        <v>675</v>
      </c>
      <c r="N387" s="120"/>
      <c r="O387" s="60"/>
    </row>
    <row r="388" spans="1:15" x14ac:dyDescent="0.25">
      <c r="A388" s="159" t="s">
        <v>676</v>
      </c>
      <c r="B388" s="167" t="s">
        <v>677</v>
      </c>
      <c r="C388" s="139"/>
      <c r="D388" s="139">
        <v>17</v>
      </c>
      <c r="E388" s="164" t="s">
        <v>678</v>
      </c>
      <c r="F388" s="172">
        <v>56.83</v>
      </c>
      <c r="G388" s="138">
        <f t="shared" si="14"/>
        <v>966.11</v>
      </c>
      <c r="H388" s="138">
        <f t="shared" si="15"/>
        <v>1014.42</v>
      </c>
      <c r="I388" s="139" t="s">
        <v>679</v>
      </c>
      <c r="J388" s="155">
        <v>12215616001</v>
      </c>
      <c r="N388" s="120"/>
      <c r="O388" s="60"/>
    </row>
    <row r="389" spans="1:15" x14ac:dyDescent="0.25">
      <c r="A389" s="159" t="s">
        <v>680</v>
      </c>
      <c r="B389" s="121" t="s">
        <v>681</v>
      </c>
      <c r="C389" s="139"/>
      <c r="D389" s="139">
        <v>13</v>
      </c>
      <c r="E389" s="139" t="s">
        <v>682</v>
      </c>
      <c r="F389" s="172">
        <v>50</v>
      </c>
      <c r="G389" s="138">
        <f t="shared" si="14"/>
        <v>650</v>
      </c>
      <c r="H389" s="138">
        <f t="shared" si="15"/>
        <v>682.5</v>
      </c>
      <c r="I389" s="139">
        <v>213484</v>
      </c>
      <c r="J389" s="155">
        <v>6510388001</v>
      </c>
      <c r="N389" s="120"/>
      <c r="O389" s="60"/>
    </row>
    <row r="390" spans="1:15" x14ac:dyDescent="0.25">
      <c r="A390" s="159" t="s">
        <v>683</v>
      </c>
      <c r="B390" s="121" t="s">
        <v>684</v>
      </c>
      <c r="C390" s="139"/>
      <c r="D390" s="139">
        <v>20</v>
      </c>
      <c r="E390" s="139" t="s">
        <v>682</v>
      </c>
      <c r="F390" s="172">
        <v>50</v>
      </c>
      <c r="G390" s="138">
        <f t="shared" si="14"/>
        <v>1000</v>
      </c>
      <c r="H390" s="138">
        <f t="shared" si="15"/>
        <v>1050</v>
      </c>
      <c r="I390" s="139">
        <v>213485</v>
      </c>
      <c r="J390" s="155">
        <v>6510396001</v>
      </c>
      <c r="N390" s="120"/>
      <c r="O390" s="60"/>
    </row>
    <row r="391" spans="1:15" x14ac:dyDescent="0.25">
      <c r="A391" s="159" t="s">
        <v>685</v>
      </c>
      <c r="B391" s="121" t="s">
        <v>686</v>
      </c>
      <c r="C391" s="139"/>
      <c r="D391" s="139">
        <v>20</v>
      </c>
      <c r="E391" s="139" t="s">
        <v>682</v>
      </c>
      <c r="F391" s="172">
        <v>50</v>
      </c>
      <c r="G391" s="138">
        <f t="shared" si="14"/>
        <v>1000</v>
      </c>
      <c r="H391" s="138">
        <f t="shared" si="15"/>
        <v>1050</v>
      </c>
      <c r="I391" s="139">
        <v>213486</v>
      </c>
      <c r="J391" s="155">
        <v>6510400001</v>
      </c>
      <c r="N391" s="120"/>
      <c r="O391" s="60"/>
    </row>
    <row r="392" spans="1:15" x14ac:dyDescent="0.25">
      <c r="A392" s="159" t="s">
        <v>53</v>
      </c>
      <c r="B392" s="135" t="s">
        <v>687</v>
      </c>
      <c r="C392" s="170">
        <v>3000</v>
      </c>
      <c r="D392" s="139"/>
      <c r="E392" s="139"/>
      <c r="F392" s="175"/>
      <c r="G392" s="138"/>
      <c r="H392" s="138"/>
      <c r="I392" s="139"/>
      <c r="J392" s="155"/>
      <c r="N392" s="120"/>
      <c r="O392" s="60"/>
    </row>
    <row r="393" spans="1:15" x14ac:dyDescent="0.25">
      <c r="A393" s="159" t="s">
        <v>201</v>
      </c>
      <c r="B393" s="121" t="s">
        <v>688</v>
      </c>
      <c r="C393" s="139"/>
      <c r="D393" s="139">
        <v>4</v>
      </c>
      <c r="E393" s="139" t="s">
        <v>689</v>
      </c>
      <c r="F393" s="172">
        <v>239.6</v>
      </c>
      <c r="G393" s="138">
        <f t="shared" si="14"/>
        <v>958.4</v>
      </c>
      <c r="H393" s="138">
        <f t="shared" si="15"/>
        <v>1006.32</v>
      </c>
      <c r="I393" s="139" t="s">
        <v>690</v>
      </c>
      <c r="J393" s="155">
        <v>6510272001</v>
      </c>
      <c r="N393" s="120"/>
      <c r="O393" s="60"/>
    </row>
    <row r="394" spans="1:15" x14ac:dyDescent="0.25">
      <c r="A394" s="203" t="s">
        <v>691</v>
      </c>
      <c r="B394" s="204"/>
      <c r="C394" s="204"/>
      <c r="D394" s="204"/>
      <c r="E394" s="204"/>
      <c r="F394" s="205"/>
      <c r="G394" s="153">
        <f>SUM(G380:G393)</f>
        <v>19216.490000000002</v>
      </c>
      <c r="H394" s="153">
        <f>SUM(H380:H393)</f>
        <v>20177.329999999998</v>
      </c>
      <c r="I394" s="133"/>
    </row>
    <row r="395" spans="1:15" x14ac:dyDescent="0.25">
      <c r="A395" s="126" t="s">
        <v>516</v>
      </c>
    </row>
    <row r="396" spans="1:15" x14ac:dyDescent="0.25">
      <c r="A396" s="195" t="s">
        <v>517</v>
      </c>
      <c r="B396" s="195"/>
      <c r="C396" s="195"/>
      <c r="D396" s="195"/>
      <c r="E396" s="195"/>
      <c r="F396" s="195"/>
      <c r="G396" s="195"/>
      <c r="H396" s="195"/>
      <c r="I396" s="195"/>
    </row>
    <row r="397" spans="1:15" ht="27" customHeight="1" x14ac:dyDescent="0.25">
      <c r="A397" s="196" t="s">
        <v>692</v>
      </c>
      <c r="B397" s="196"/>
      <c r="C397" s="196"/>
      <c r="D397" s="196"/>
      <c r="E397" s="196"/>
      <c r="F397" s="196"/>
      <c r="G397" s="196"/>
      <c r="H397" s="196"/>
      <c r="I397" s="196"/>
    </row>
    <row r="398" spans="1:15" x14ac:dyDescent="0.25">
      <c r="A398" s="195" t="s">
        <v>395</v>
      </c>
      <c r="B398" s="195"/>
      <c r="C398" s="195"/>
      <c r="D398" s="195"/>
      <c r="E398" s="195"/>
      <c r="F398" s="195"/>
      <c r="G398" s="195"/>
      <c r="H398" s="195"/>
      <c r="I398" s="195"/>
    </row>
    <row r="399" spans="1:15" x14ac:dyDescent="0.25">
      <c r="A399" s="195" t="s">
        <v>693</v>
      </c>
      <c r="B399" s="195"/>
      <c r="C399" s="195"/>
      <c r="D399" s="195"/>
      <c r="E399" s="195"/>
      <c r="F399" s="195"/>
      <c r="G399" s="195"/>
      <c r="H399" s="195"/>
      <c r="I399" s="195"/>
    </row>
    <row r="400" spans="1:15" x14ac:dyDescent="0.25">
      <c r="A400" s="195" t="s">
        <v>694</v>
      </c>
      <c r="B400" s="195"/>
      <c r="C400" s="195"/>
      <c r="D400" s="195"/>
      <c r="E400" s="195"/>
      <c r="F400" s="195"/>
      <c r="G400" s="195"/>
      <c r="H400" s="195"/>
      <c r="I400" s="195"/>
    </row>
    <row r="401" spans="1:14" ht="40.5" customHeight="1" x14ac:dyDescent="0.25">
      <c r="A401" s="187" t="s">
        <v>695</v>
      </c>
      <c r="B401" s="187"/>
      <c r="C401" s="187"/>
      <c r="D401" s="187"/>
      <c r="E401" s="187"/>
      <c r="F401" s="187"/>
      <c r="G401" s="187"/>
      <c r="H401" s="187"/>
      <c r="I401" s="187"/>
    </row>
    <row r="403" spans="1:14" x14ac:dyDescent="0.25">
      <c r="G403" s="171"/>
      <c r="H403" s="171"/>
      <c r="I403" s="171"/>
      <c r="J403" s="59"/>
      <c r="K403" s="59"/>
      <c r="L403" s="59"/>
      <c r="M403" s="59"/>
      <c r="N403" s="59"/>
    </row>
  </sheetData>
  <mergeCells count="67">
    <mergeCell ref="A401:I401"/>
    <mergeCell ref="A394:F394"/>
    <mergeCell ref="A396:I396"/>
    <mergeCell ref="A397:I397"/>
    <mergeCell ref="A398:I398"/>
    <mergeCell ref="A399:I399"/>
    <mergeCell ref="A400:I400"/>
    <mergeCell ref="A376:I376"/>
    <mergeCell ref="A356:I356"/>
    <mergeCell ref="A364:F364"/>
    <mergeCell ref="A366:I366"/>
    <mergeCell ref="A367:I367"/>
    <mergeCell ref="A368:I368"/>
    <mergeCell ref="A369:I369"/>
    <mergeCell ref="A370:I370"/>
    <mergeCell ref="A371:I371"/>
    <mergeCell ref="A373:I373"/>
    <mergeCell ref="A374:I374"/>
    <mergeCell ref="G375:I375"/>
    <mergeCell ref="H355:I355"/>
    <mergeCell ref="A337:I337"/>
    <mergeCell ref="F338:I338"/>
    <mergeCell ref="A344:F344"/>
    <mergeCell ref="A346:I346"/>
    <mergeCell ref="A347:I347"/>
    <mergeCell ref="A348:I348"/>
    <mergeCell ref="A349:I349"/>
    <mergeCell ref="A350:I350"/>
    <mergeCell ref="A351:I351"/>
    <mergeCell ref="A353:I353"/>
    <mergeCell ref="A354:I354"/>
    <mergeCell ref="A336:I336"/>
    <mergeCell ref="A314:I314"/>
    <mergeCell ref="A315:I315"/>
    <mergeCell ref="F316:I316"/>
    <mergeCell ref="A317:I317"/>
    <mergeCell ref="A327:F327"/>
    <mergeCell ref="A329:I329"/>
    <mergeCell ref="A330:I330"/>
    <mergeCell ref="A331:I331"/>
    <mergeCell ref="A332:I332"/>
    <mergeCell ref="A333:I333"/>
    <mergeCell ref="A334:I334"/>
    <mergeCell ref="A311:I311"/>
    <mergeCell ref="A114:I114"/>
    <mergeCell ref="A116:I116"/>
    <mergeCell ref="A117:I117"/>
    <mergeCell ref="F118:H118"/>
    <mergeCell ref="A121:B121"/>
    <mergeCell ref="A304:F304"/>
    <mergeCell ref="A306:I306"/>
    <mergeCell ref="A307:I307"/>
    <mergeCell ref="A308:I308"/>
    <mergeCell ref="A309:I309"/>
    <mergeCell ref="A310:I310"/>
    <mergeCell ref="A113:I113"/>
    <mergeCell ref="G1:I1"/>
    <mergeCell ref="A2:I2"/>
    <mergeCell ref="A3:I3"/>
    <mergeCell ref="A5:I5"/>
    <mergeCell ref="A6:I6"/>
    <mergeCell ref="A11:B11"/>
    <mergeCell ref="A106:F106"/>
    <mergeCell ref="A109:I109"/>
    <mergeCell ref="A110:I110"/>
    <mergeCell ref="A111:I111"/>
    <mergeCell ref="A112:I112"/>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43"/>
  <sheetViews>
    <sheetView workbookViewId="0">
      <pane xSplit="2" ySplit="4" topLeftCell="D119" activePane="bottomRight" state="frozen"/>
      <selection pane="topRight" activeCell="C1" sqref="C1"/>
      <selection pane="bottomLeft" activeCell="A5" sqref="A5"/>
      <selection pane="bottomRight" activeCell="T137" sqref="T137"/>
    </sheetView>
  </sheetViews>
  <sheetFormatPr defaultRowHeight="15" x14ac:dyDescent="0.25"/>
  <cols>
    <col min="2" max="2" width="14.85546875" customWidth="1"/>
    <col min="3" max="3" width="43.28515625" bestFit="1" customWidth="1"/>
    <col min="4" max="4" width="20" bestFit="1" customWidth="1"/>
    <col min="6" max="6" width="12" style="63" bestFit="1" customWidth="1"/>
    <col min="7" max="7" width="8" style="59" bestFit="1" customWidth="1"/>
    <col min="8" max="8" width="9" style="59" bestFit="1" customWidth="1"/>
    <col min="9" max="9" width="5.28515625" bestFit="1" customWidth="1"/>
    <col min="10" max="10" width="12" customWidth="1"/>
    <col min="11" max="11" width="11.28515625" bestFit="1" customWidth="1"/>
    <col min="12" max="13" width="12" style="59" customWidth="1"/>
    <col min="14" max="15" width="12" customWidth="1"/>
    <col min="16" max="17" width="12.42578125" style="59" customWidth="1"/>
    <col min="18" max="20" width="12.42578125" bestFit="1" customWidth="1"/>
  </cols>
  <sheetData>
    <row r="1" spans="1:20" x14ac:dyDescent="0.25">
      <c r="F1" s="76" t="s">
        <v>162</v>
      </c>
      <c r="G1" s="77"/>
      <c r="H1" s="77"/>
      <c r="I1" s="78"/>
      <c r="J1" s="78"/>
      <c r="K1" s="78"/>
      <c r="L1" s="82" t="s">
        <v>161</v>
      </c>
      <c r="M1" s="83"/>
      <c r="N1" t="s">
        <v>165</v>
      </c>
    </row>
    <row r="2" spans="1:20" x14ac:dyDescent="0.25">
      <c r="B2" s="7" t="s">
        <v>49</v>
      </c>
      <c r="C2" s="7"/>
      <c r="J2" t="s">
        <v>179</v>
      </c>
      <c r="K2" s="104">
        <v>0.21</v>
      </c>
      <c r="L2" s="83"/>
      <c r="M2" s="83"/>
      <c r="N2" s="84">
        <v>5.9000000000000003E-4</v>
      </c>
      <c r="P2" s="59" t="s">
        <v>169</v>
      </c>
      <c r="Q2" s="59" t="s">
        <v>180</v>
      </c>
      <c r="R2" t="s">
        <v>181</v>
      </c>
      <c r="S2" t="s">
        <v>182</v>
      </c>
      <c r="T2" t="s">
        <v>183</v>
      </c>
    </row>
    <row r="3" spans="1:20" ht="45" x14ac:dyDescent="0.25">
      <c r="A3" s="17" t="s">
        <v>52</v>
      </c>
      <c r="B3" s="1" t="s">
        <v>46</v>
      </c>
      <c r="C3" s="1" t="s">
        <v>47</v>
      </c>
      <c r="D3" s="1" t="s">
        <v>48</v>
      </c>
      <c r="E3" s="1" t="s">
        <v>72</v>
      </c>
      <c r="F3" s="63" t="s">
        <v>156</v>
      </c>
      <c r="G3" s="59" t="s">
        <v>155</v>
      </c>
      <c r="H3" s="59" t="s">
        <v>157</v>
      </c>
      <c r="I3" t="s">
        <v>158</v>
      </c>
      <c r="J3" t="s">
        <v>160</v>
      </c>
      <c r="K3" t="s">
        <v>159</v>
      </c>
      <c r="L3" s="82" t="s">
        <v>155</v>
      </c>
      <c r="M3" s="82" t="s">
        <v>159</v>
      </c>
      <c r="N3" s="61" t="s">
        <v>164</v>
      </c>
      <c r="O3" s="86" t="s">
        <v>166</v>
      </c>
      <c r="P3" s="97" t="s">
        <v>167</v>
      </c>
      <c r="Q3" s="97" t="s">
        <v>167</v>
      </c>
      <c r="R3" s="97" t="s">
        <v>167</v>
      </c>
      <c r="S3" s="97" t="s">
        <v>167</v>
      </c>
      <c r="T3" s="97" t="s">
        <v>167</v>
      </c>
    </row>
    <row r="4" spans="1:20" s="70" customFormat="1" x14ac:dyDescent="0.25">
      <c r="A4" s="17">
        <v>36</v>
      </c>
      <c r="B4" s="1"/>
      <c r="C4" s="1" t="s">
        <v>161</v>
      </c>
      <c r="D4" s="1"/>
      <c r="E4" s="1"/>
      <c r="F4" s="68"/>
      <c r="G4" s="72">
        <f>SUM(G6:G36)</f>
        <v>81715.269999999975</v>
      </c>
      <c r="H4" s="72">
        <f>SUM(H6:H36)</f>
        <v>109335.07999999999</v>
      </c>
      <c r="J4" s="72">
        <f>SUM(J6:J36)</f>
        <v>42700.49</v>
      </c>
      <c r="K4" s="74">
        <f>SUM(K5:K36)</f>
        <v>54741.372759999998</v>
      </c>
      <c r="L4" s="73">
        <f>SUM(L6:L36)</f>
        <v>43270.92</v>
      </c>
      <c r="M4" s="73">
        <f>SUM(M5:M36)</f>
        <v>55748.582759999998</v>
      </c>
      <c r="N4" s="79">
        <f>-PV($N$2,A4,M4/A4)</f>
        <v>55144.608434510948</v>
      </c>
      <c r="O4" s="79">
        <f>ROUND(N4/A4,0)</f>
        <v>1532</v>
      </c>
      <c r="P4" s="69"/>
      <c r="Q4" s="69"/>
      <c r="R4" s="85"/>
    </row>
    <row r="5" spans="1:20" ht="28.5" x14ac:dyDescent="0.25">
      <c r="A5" s="75"/>
      <c r="B5" s="54"/>
      <c r="C5" s="55" t="s">
        <v>0</v>
      </c>
      <c r="D5" s="55" t="s">
        <v>1</v>
      </c>
      <c r="E5" s="56">
        <v>1</v>
      </c>
      <c r="K5" s="66">
        <f>SUM(G5:G20)*(1+K2)*20%</f>
        <v>11040.712759999999</v>
      </c>
      <c r="M5" s="59">
        <f>K5*E5</f>
        <v>11040.712759999999</v>
      </c>
      <c r="N5" s="58"/>
      <c r="O5" s="58"/>
    </row>
    <row r="6" spans="1:20" x14ac:dyDescent="0.25">
      <c r="A6" s="75"/>
      <c r="B6" s="2" t="s">
        <v>2</v>
      </c>
      <c r="C6" s="2" t="s">
        <v>3</v>
      </c>
      <c r="D6" s="2" t="s">
        <v>4</v>
      </c>
      <c r="E6" s="19">
        <v>1</v>
      </c>
      <c r="F6" s="63" t="s">
        <v>143</v>
      </c>
      <c r="G6" s="59">
        <v>564.76</v>
      </c>
      <c r="H6" s="59">
        <v>868.86</v>
      </c>
      <c r="I6" s="60">
        <f>(H6-G6)/H6</f>
        <v>0.34999884906659301</v>
      </c>
      <c r="J6" s="59">
        <v>0</v>
      </c>
      <c r="K6" s="59"/>
      <c r="L6" s="81">
        <f>E6*J6</f>
        <v>0</v>
      </c>
      <c r="M6" s="59">
        <f>K6*E6</f>
        <v>0</v>
      </c>
      <c r="N6" s="58"/>
      <c r="O6" s="58"/>
      <c r="P6" s="59">
        <f>L6</f>
        <v>0</v>
      </c>
      <c r="Q6" s="59">
        <v>0</v>
      </c>
      <c r="R6" s="59">
        <v>0</v>
      </c>
      <c r="S6" s="59">
        <v>0</v>
      </c>
      <c r="T6" s="59">
        <v>0</v>
      </c>
    </row>
    <row r="7" spans="1:20" x14ac:dyDescent="0.25">
      <c r="A7" s="75"/>
      <c r="B7" s="2" t="s">
        <v>5</v>
      </c>
      <c r="C7" s="2" t="s">
        <v>6</v>
      </c>
      <c r="D7" s="2" t="s">
        <v>7</v>
      </c>
      <c r="E7" s="19">
        <v>1</v>
      </c>
      <c r="F7" s="63" t="s">
        <v>144</v>
      </c>
      <c r="G7" s="59">
        <v>122.01</v>
      </c>
      <c r="H7" s="59">
        <v>289.62</v>
      </c>
      <c r="I7" s="60">
        <f t="shared" ref="I7:I20" si="0">(H7-G7)/H7</f>
        <v>0.57872384503832608</v>
      </c>
      <c r="J7" s="59">
        <v>0</v>
      </c>
      <c r="K7" s="59"/>
      <c r="L7" s="81">
        <f t="shared" ref="L7:L20" si="1">E7*J7</f>
        <v>0</v>
      </c>
      <c r="M7" s="59">
        <f t="shared" ref="M7:M20" si="2">K7*E7</f>
        <v>0</v>
      </c>
      <c r="N7" s="58"/>
      <c r="O7" s="58"/>
      <c r="P7" s="59">
        <f t="shared" ref="P7:P8" si="3">L7</f>
        <v>0</v>
      </c>
      <c r="Q7" s="59">
        <v>0</v>
      </c>
      <c r="R7" s="59">
        <v>0</v>
      </c>
      <c r="S7" s="59">
        <v>0</v>
      </c>
      <c r="T7" s="59">
        <v>0</v>
      </c>
    </row>
    <row r="8" spans="1:20" x14ac:dyDescent="0.25">
      <c r="A8" s="75"/>
      <c r="B8" s="2" t="s">
        <v>8</v>
      </c>
      <c r="C8" s="2" t="s">
        <v>9</v>
      </c>
      <c r="D8" s="2" t="s">
        <v>10</v>
      </c>
      <c r="E8" s="19">
        <v>1</v>
      </c>
      <c r="F8" s="63" t="s">
        <v>145</v>
      </c>
      <c r="G8" s="59">
        <v>327.9</v>
      </c>
      <c r="H8" s="59">
        <v>434.43</v>
      </c>
      <c r="I8" s="60">
        <f t="shared" si="0"/>
        <v>0.24521787169394385</v>
      </c>
      <c r="J8" s="59">
        <v>0</v>
      </c>
      <c r="K8" s="59"/>
      <c r="L8" s="81">
        <f t="shared" si="1"/>
        <v>0</v>
      </c>
      <c r="M8" s="59">
        <f t="shared" si="2"/>
        <v>0</v>
      </c>
      <c r="N8" s="58"/>
      <c r="O8" s="58"/>
      <c r="P8" s="59">
        <f t="shared" si="3"/>
        <v>0</v>
      </c>
      <c r="Q8" s="59">
        <v>0</v>
      </c>
      <c r="R8" s="59">
        <v>0</v>
      </c>
      <c r="S8" s="59">
        <v>0</v>
      </c>
      <c r="T8" s="59">
        <v>0</v>
      </c>
    </row>
    <row r="9" spans="1:20" x14ac:dyDescent="0.25">
      <c r="A9" s="75"/>
      <c r="B9" s="88" t="s">
        <v>11</v>
      </c>
      <c r="C9" s="88" t="s">
        <v>12</v>
      </c>
      <c r="D9" s="88">
        <v>11927</v>
      </c>
      <c r="E9" s="89">
        <v>1</v>
      </c>
      <c r="F9" s="62" t="s">
        <v>139</v>
      </c>
      <c r="G9" s="59">
        <v>26125</v>
      </c>
      <c r="H9" s="59">
        <v>34485</v>
      </c>
      <c r="I9" s="60">
        <f t="shared" si="0"/>
        <v>0.24242424242424243</v>
      </c>
      <c r="J9" s="59">
        <v>6608</v>
      </c>
      <c r="K9" s="59"/>
      <c r="L9" s="81">
        <f t="shared" si="1"/>
        <v>6608</v>
      </c>
      <c r="M9" s="59">
        <f t="shared" si="2"/>
        <v>0</v>
      </c>
      <c r="N9" s="58"/>
      <c r="O9" s="58"/>
      <c r="P9" s="81">
        <f>L9</f>
        <v>6608</v>
      </c>
      <c r="Q9" s="59">
        <v>0</v>
      </c>
      <c r="R9" s="59">
        <v>0</v>
      </c>
      <c r="S9" s="59">
        <v>0</v>
      </c>
      <c r="T9" s="59">
        <v>0</v>
      </c>
    </row>
    <row r="10" spans="1:20" x14ac:dyDescent="0.25">
      <c r="A10" s="75"/>
      <c r="B10" s="2" t="s">
        <v>13</v>
      </c>
      <c r="C10" s="2" t="s">
        <v>14</v>
      </c>
      <c r="D10" s="2" t="s">
        <v>15</v>
      </c>
      <c r="E10" s="19">
        <v>1</v>
      </c>
      <c r="F10" s="62" t="s">
        <v>146</v>
      </c>
      <c r="G10" s="59">
        <v>2062.5</v>
      </c>
      <c r="H10" s="59">
        <v>2949.38</v>
      </c>
      <c r="I10" s="60">
        <f t="shared" si="0"/>
        <v>0.30070048620388018</v>
      </c>
      <c r="J10" s="59">
        <v>0</v>
      </c>
      <c r="K10" s="59"/>
      <c r="L10" s="81">
        <f t="shared" si="1"/>
        <v>0</v>
      </c>
      <c r="M10" s="59">
        <f t="shared" si="2"/>
        <v>0</v>
      </c>
      <c r="N10" s="58"/>
      <c r="O10" s="58"/>
      <c r="P10" s="59">
        <f t="shared" ref="P10:P20" si="4">L10</f>
        <v>0</v>
      </c>
      <c r="Q10" s="59">
        <v>0</v>
      </c>
      <c r="R10" s="59">
        <v>0</v>
      </c>
      <c r="S10" s="59">
        <v>0</v>
      </c>
      <c r="T10" s="59">
        <v>0</v>
      </c>
    </row>
    <row r="11" spans="1:20" x14ac:dyDescent="0.25">
      <c r="A11" s="75"/>
      <c r="B11" s="2" t="s">
        <v>16</v>
      </c>
      <c r="C11" s="2" t="s">
        <v>17</v>
      </c>
      <c r="D11" s="2" t="s">
        <v>18</v>
      </c>
      <c r="E11" s="19">
        <v>1</v>
      </c>
      <c r="F11" s="62" t="s">
        <v>131</v>
      </c>
      <c r="G11" s="59">
        <v>206.25</v>
      </c>
      <c r="H11" s="59">
        <v>295.89999999999998</v>
      </c>
      <c r="I11" s="60">
        <f t="shared" si="0"/>
        <v>0.30297397769516721</v>
      </c>
      <c r="J11" s="59">
        <v>0</v>
      </c>
      <c r="K11" s="59"/>
      <c r="L11" s="81">
        <f t="shared" si="1"/>
        <v>0</v>
      </c>
      <c r="M11" s="59">
        <f t="shared" si="2"/>
        <v>0</v>
      </c>
      <c r="N11" s="58"/>
      <c r="O11" s="58"/>
      <c r="P11" s="59">
        <f t="shared" si="4"/>
        <v>0</v>
      </c>
      <c r="Q11" s="59">
        <v>0</v>
      </c>
      <c r="R11" s="59">
        <v>0</v>
      </c>
      <c r="S11" s="59">
        <v>0</v>
      </c>
      <c r="T11" s="59">
        <v>0</v>
      </c>
    </row>
    <row r="12" spans="1:20" x14ac:dyDescent="0.25">
      <c r="A12" s="75"/>
      <c r="B12" s="2" t="s">
        <v>19</v>
      </c>
      <c r="C12" s="2" t="s">
        <v>20</v>
      </c>
      <c r="D12" s="2" t="s">
        <v>21</v>
      </c>
      <c r="E12" s="19">
        <v>1</v>
      </c>
      <c r="F12" s="62" t="s">
        <v>132</v>
      </c>
      <c r="G12" s="59">
        <v>940</v>
      </c>
      <c r="H12" s="59">
        <v>1343.1</v>
      </c>
      <c r="I12" s="60">
        <f t="shared" si="0"/>
        <v>0.30012657285384553</v>
      </c>
      <c r="J12" s="59">
        <v>0</v>
      </c>
      <c r="K12" s="59"/>
      <c r="L12" s="81">
        <f t="shared" si="1"/>
        <v>0</v>
      </c>
      <c r="M12" s="59">
        <f t="shared" si="2"/>
        <v>0</v>
      </c>
      <c r="N12" s="58"/>
      <c r="O12" s="58"/>
      <c r="P12" s="59">
        <f t="shared" si="4"/>
        <v>0</v>
      </c>
      <c r="Q12" s="59">
        <v>0</v>
      </c>
      <c r="R12" s="59">
        <v>0</v>
      </c>
      <c r="S12" s="59">
        <v>0</v>
      </c>
      <c r="T12" s="59">
        <v>0</v>
      </c>
    </row>
    <row r="13" spans="1:20" x14ac:dyDescent="0.25">
      <c r="A13" s="75"/>
      <c r="B13" s="2" t="s">
        <v>22</v>
      </c>
      <c r="C13" s="2" t="s">
        <v>23</v>
      </c>
      <c r="D13" s="2">
        <v>11404</v>
      </c>
      <c r="E13" s="19">
        <v>1</v>
      </c>
      <c r="F13" s="62" t="s">
        <v>147</v>
      </c>
      <c r="G13" s="59">
        <v>2062.5</v>
      </c>
      <c r="H13" s="59">
        <v>2949.38</v>
      </c>
      <c r="I13" s="60">
        <f t="shared" si="0"/>
        <v>0.30070048620388018</v>
      </c>
      <c r="J13" s="59">
        <v>0</v>
      </c>
      <c r="K13" s="59"/>
      <c r="L13" s="81">
        <f t="shared" si="1"/>
        <v>0</v>
      </c>
      <c r="M13" s="59">
        <f t="shared" si="2"/>
        <v>0</v>
      </c>
      <c r="N13" s="58"/>
      <c r="O13" s="58"/>
      <c r="P13" s="59">
        <f t="shared" si="4"/>
        <v>0</v>
      </c>
      <c r="Q13" s="59">
        <v>0</v>
      </c>
      <c r="R13" s="59">
        <v>0</v>
      </c>
      <c r="S13" s="59">
        <v>0</v>
      </c>
      <c r="T13" s="59">
        <v>0</v>
      </c>
    </row>
    <row r="14" spans="1:20" x14ac:dyDescent="0.25">
      <c r="A14" s="75"/>
      <c r="B14" s="2" t="s">
        <v>24</v>
      </c>
      <c r="C14" s="2" t="s">
        <v>25</v>
      </c>
      <c r="D14" s="2"/>
      <c r="E14" s="19">
        <v>1</v>
      </c>
      <c r="F14" s="62" t="s">
        <v>148</v>
      </c>
      <c r="G14" s="59">
        <v>21.48</v>
      </c>
      <c r="H14" s="59">
        <v>18.2</v>
      </c>
      <c r="I14" s="60">
        <f t="shared" si="0"/>
        <v>-0.1802197802197803</v>
      </c>
      <c r="J14" s="59">
        <v>0</v>
      </c>
      <c r="K14" s="59"/>
      <c r="L14" s="81">
        <f t="shared" si="1"/>
        <v>0</v>
      </c>
      <c r="M14" s="59">
        <f t="shared" si="2"/>
        <v>0</v>
      </c>
      <c r="N14" s="58"/>
      <c r="O14" s="58"/>
      <c r="P14" s="59">
        <f t="shared" si="4"/>
        <v>0</v>
      </c>
      <c r="Q14" s="59">
        <v>0</v>
      </c>
      <c r="R14" s="59">
        <v>0</v>
      </c>
      <c r="S14" s="59">
        <v>0</v>
      </c>
      <c r="T14" s="59">
        <v>0</v>
      </c>
    </row>
    <row r="15" spans="1:20" x14ac:dyDescent="0.25">
      <c r="A15" s="75"/>
      <c r="B15" s="88" t="s">
        <v>26</v>
      </c>
      <c r="C15" s="88" t="s">
        <v>27</v>
      </c>
      <c r="D15" s="88">
        <v>189</v>
      </c>
      <c r="E15" s="89">
        <v>1</v>
      </c>
      <c r="F15" s="62" t="s">
        <v>133</v>
      </c>
      <c r="G15" s="59">
        <v>4812.5</v>
      </c>
      <c r="H15" s="59">
        <v>6088.5</v>
      </c>
      <c r="I15" s="60">
        <f t="shared" si="0"/>
        <v>0.20957542908762422</v>
      </c>
      <c r="J15" s="59">
        <v>0</v>
      </c>
      <c r="K15" s="59"/>
      <c r="L15" s="81">
        <f t="shared" si="1"/>
        <v>0</v>
      </c>
      <c r="M15" s="59">
        <f t="shared" si="2"/>
        <v>0</v>
      </c>
      <c r="N15" s="58"/>
      <c r="O15" s="58"/>
      <c r="P15" s="59">
        <f t="shared" si="4"/>
        <v>0</v>
      </c>
      <c r="Q15" s="59">
        <v>0</v>
      </c>
      <c r="R15" s="59">
        <v>0</v>
      </c>
      <c r="S15" s="59">
        <v>0</v>
      </c>
      <c r="T15" s="59">
        <v>0</v>
      </c>
    </row>
    <row r="16" spans="1:20" x14ac:dyDescent="0.25">
      <c r="A16" s="75"/>
      <c r="B16" s="88" t="s">
        <v>28</v>
      </c>
      <c r="C16" s="88" t="s">
        <v>29</v>
      </c>
      <c r="D16" s="88">
        <v>116</v>
      </c>
      <c r="E16" s="89">
        <v>1</v>
      </c>
      <c r="F16" s="62" t="s">
        <v>134</v>
      </c>
      <c r="G16" s="59">
        <v>5500</v>
      </c>
      <c r="H16" s="59">
        <v>6957.5</v>
      </c>
      <c r="I16" s="60">
        <f t="shared" si="0"/>
        <v>0.20948616600790515</v>
      </c>
      <c r="J16" s="59">
        <v>0</v>
      </c>
      <c r="K16" s="59"/>
      <c r="L16" s="81">
        <f t="shared" si="1"/>
        <v>0</v>
      </c>
      <c r="M16" s="59">
        <f t="shared" si="2"/>
        <v>0</v>
      </c>
      <c r="N16" s="58"/>
      <c r="O16" s="58"/>
      <c r="P16" s="59">
        <f t="shared" si="4"/>
        <v>0</v>
      </c>
      <c r="Q16" s="59">
        <v>0</v>
      </c>
      <c r="R16" s="59">
        <v>0</v>
      </c>
      <c r="S16" s="59">
        <v>0</v>
      </c>
      <c r="T16" s="59">
        <v>0</v>
      </c>
    </row>
    <row r="17" spans="1:20" x14ac:dyDescent="0.25">
      <c r="A17" s="75"/>
      <c r="B17" s="2" t="s">
        <v>30</v>
      </c>
      <c r="C17" s="2" t="s">
        <v>31</v>
      </c>
      <c r="D17" s="2" t="s">
        <v>32</v>
      </c>
      <c r="E17" s="19">
        <v>1</v>
      </c>
      <c r="F17" s="62" t="s">
        <v>135</v>
      </c>
      <c r="G17" s="59">
        <v>1787.5</v>
      </c>
      <c r="H17" s="59">
        <v>2530</v>
      </c>
      <c r="I17" s="60">
        <f t="shared" si="0"/>
        <v>0.29347826086956524</v>
      </c>
      <c r="J17" s="59">
        <v>0</v>
      </c>
      <c r="K17" s="59"/>
      <c r="L17" s="81">
        <f t="shared" si="1"/>
        <v>0</v>
      </c>
      <c r="M17" s="59">
        <f t="shared" si="2"/>
        <v>0</v>
      </c>
      <c r="N17" s="58"/>
      <c r="O17" s="58"/>
      <c r="P17" s="59">
        <f t="shared" si="4"/>
        <v>0</v>
      </c>
      <c r="Q17" s="59">
        <v>0</v>
      </c>
      <c r="R17" s="59">
        <v>0</v>
      </c>
      <c r="S17" s="59">
        <v>0</v>
      </c>
      <c r="T17" s="59">
        <v>0</v>
      </c>
    </row>
    <row r="18" spans="1:20" x14ac:dyDescent="0.25">
      <c r="A18" s="75"/>
      <c r="B18" s="2" t="s">
        <v>33</v>
      </c>
      <c r="C18" s="2" t="s">
        <v>34</v>
      </c>
      <c r="D18" s="2">
        <v>1114021320</v>
      </c>
      <c r="E18" s="19">
        <v>1</v>
      </c>
      <c r="F18" s="62" t="s">
        <v>136</v>
      </c>
      <c r="G18" s="59">
        <v>721.88</v>
      </c>
      <c r="H18" s="59">
        <v>874.5</v>
      </c>
      <c r="I18" s="60">
        <f t="shared" si="0"/>
        <v>0.17452258433390511</v>
      </c>
      <c r="J18" s="59">
        <v>0</v>
      </c>
      <c r="K18" s="59"/>
      <c r="L18" s="81">
        <f t="shared" si="1"/>
        <v>0</v>
      </c>
      <c r="M18" s="59">
        <f t="shared" si="2"/>
        <v>0</v>
      </c>
      <c r="N18" s="58"/>
      <c r="O18" s="58"/>
      <c r="P18" s="59">
        <f t="shared" si="4"/>
        <v>0</v>
      </c>
      <c r="Q18" s="59">
        <v>0</v>
      </c>
      <c r="R18" s="59">
        <v>0</v>
      </c>
      <c r="S18" s="59">
        <v>0</v>
      </c>
      <c r="T18" s="59">
        <v>0</v>
      </c>
    </row>
    <row r="19" spans="1:20" x14ac:dyDescent="0.25">
      <c r="A19" s="75"/>
      <c r="B19" s="2" t="s">
        <v>35</v>
      </c>
      <c r="C19" s="2" t="s">
        <v>36</v>
      </c>
      <c r="D19" s="2"/>
      <c r="E19" s="19">
        <v>1</v>
      </c>
      <c r="F19" s="62" t="s">
        <v>137</v>
      </c>
      <c r="G19" s="59">
        <v>343.75</v>
      </c>
      <c r="H19" s="59">
        <v>491.7</v>
      </c>
      <c r="I19" s="60">
        <f t="shared" si="0"/>
        <v>0.30089485458612975</v>
      </c>
      <c r="J19" s="59">
        <v>0</v>
      </c>
      <c r="K19" s="59"/>
      <c r="L19" s="81">
        <f t="shared" si="1"/>
        <v>0</v>
      </c>
      <c r="M19" s="59">
        <f t="shared" si="2"/>
        <v>0</v>
      </c>
      <c r="N19" s="58"/>
      <c r="O19" s="58"/>
      <c r="P19" s="59">
        <f t="shared" si="4"/>
        <v>0</v>
      </c>
      <c r="Q19" s="59">
        <v>0</v>
      </c>
      <c r="R19" s="59">
        <v>0</v>
      </c>
      <c r="S19" s="59">
        <v>0</v>
      </c>
      <c r="T19" s="59">
        <v>0</v>
      </c>
    </row>
    <row r="20" spans="1:20" x14ac:dyDescent="0.25">
      <c r="A20" s="75"/>
      <c r="B20" s="2" t="s">
        <v>37</v>
      </c>
      <c r="C20" s="2" t="s">
        <v>38</v>
      </c>
      <c r="D20" s="2"/>
      <c r="E20" s="19">
        <v>1</v>
      </c>
      <c r="F20" s="62" t="s">
        <v>138</v>
      </c>
      <c r="G20" s="59">
        <v>24.75</v>
      </c>
      <c r="H20" s="59">
        <v>36.299999999999997</v>
      </c>
      <c r="I20" s="60">
        <f t="shared" si="0"/>
        <v>0.31818181818181812</v>
      </c>
      <c r="J20" s="59">
        <v>0</v>
      </c>
      <c r="K20" s="59"/>
      <c r="L20" s="81">
        <f t="shared" si="1"/>
        <v>0</v>
      </c>
      <c r="M20" s="59">
        <f t="shared" si="2"/>
        <v>0</v>
      </c>
      <c r="N20" s="58"/>
      <c r="O20" s="58"/>
      <c r="P20" s="59">
        <f t="shared" si="4"/>
        <v>0</v>
      </c>
      <c r="Q20" s="59">
        <v>0</v>
      </c>
      <c r="R20" s="59">
        <v>0</v>
      </c>
      <c r="S20" s="59">
        <v>0</v>
      </c>
      <c r="T20" s="59">
        <v>0</v>
      </c>
    </row>
    <row r="21" spans="1:20" x14ac:dyDescent="0.25">
      <c r="B21" s="6"/>
      <c r="C21" s="22" t="s">
        <v>50</v>
      </c>
      <c r="D21" s="6"/>
      <c r="E21" s="6"/>
      <c r="J21" s="59"/>
      <c r="K21" s="59"/>
      <c r="N21" s="58"/>
      <c r="O21" s="58"/>
    </row>
    <row r="22" spans="1:20" s="70" customFormat="1" x14ac:dyDescent="0.25">
      <c r="B22" s="71"/>
      <c r="C22" s="22" t="s">
        <v>161</v>
      </c>
      <c r="D22" s="71"/>
      <c r="E22" s="71"/>
      <c r="F22" s="68"/>
      <c r="G22" s="69"/>
      <c r="H22" s="69"/>
      <c r="J22" s="69"/>
      <c r="K22" s="69"/>
      <c r="L22" s="69"/>
      <c r="M22" s="69"/>
      <c r="N22" s="79"/>
      <c r="O22" s="79"/>
      <c r="P22" s="69"/>
      <c r="Q22" s="69"/>
    </row>
    <row r="23" spans="1:20" x14ac:dyDescent="0.25">
      <c r="B23" s="93" t="s">
        <v>39</v>
      </c>
      <c r="C23" s="94" t="s">
        <v>12</v>
      </c>
      <c r="D23" s="92"/>
      <c r="E23" s="89">
        <v>1</v>
      </c>
      <c r="F23" s="62" t="s">
        <v>139</v>
      </c>
      <c r="G23" s="59">
        <v>26125</v>
      </c>
      <c r="H23" s="59">
        <v>34485</v>
      </c>
      <c r="I23" s="60">
        <f t="shared" ref="I23:I26" si="5">(H23-G23)/H23</f>
        <v>0.24242424242424243</v>
      </c>
      <c r="J23" s="59">
        <f>G23</f>
        <v>26125</v>
      </c>
      <c r="K23" s="59">
        <f>G23*(1+$K$2)</f>
        <v>31611.25</v>
      </c>
      <c r="L23" s="81">
        <f t="shared" ref="L23:L36" si="6">E23*G23</f>
        <v>26125</v>
      </c>
      <c r="M23" s="59">
        <f t="shared" ref="M23:M26" si="7">K23*E23</f>
        <v>31611.25</v>
      </c>
      <c r="N23" s="58"/>
      <c r="O23" s="58"/>
      <c r="P23" s="59">
        <f>L23/$A$4*12</f>
        <v>8708.3333333333339</v>
      </c>
      <c r="Q23" s="59">
        <f t="shared" ref="Q23:R26" si="8">P23</f>
        <v>8708.3333333333339</v>
      </c>
      <c r="R23" s="65">
        <f t="shared" si="8"/>
        <v>8708.3333333333339</v>
      </c>
      <c r="S23" s="59">
        <v>0</v>
      </c>
      <c r="T23" s="59">
        <v>0</v>
      </c>
    </row>
    <row r="24" spans="1:20" x14ac:dyDescent="0.25">
      <c r="B24" s="3" t="s">
        <v>40</v>
      </c>
      <c r="C24" s="5" t="s">
        <v>41</v>
      </c>
      <c r="D24" s="4"/>
      <c r="E24" s="19">
        <v>1</v>
      </c>
      <c r="F24" s="62">
        <v>6509932001</v>
      </c>
      <c r="G24" s="59">
        <v>1375</v>
      </c>
      <c r="H24" s="59">
        <v>1969</v>
      </c>
      <c r="I24" s="60">
        <f t="shared" si="5"/>
        <v>0.3016759776536313</v>
      </c>
      <c r="J24" s="59">
        <f t="shared" ref="J24:J26" si="9">G24</f>
        <v>1375</v>
      </c>
      <c r="K24" s="59">
        <f t="shared" ref="K24:K26" si="10">G24*(1+$K$2)</f>
        <v>1663.75</v>
      </c>
      <c r="L24" s="81">
        <f t="shared" si="6"/>
        <v>1375</v>
      </c>
      <c r="M24" s="59">
        <f t="shared" si="7"/>
        <v>1663.75</v>
      </c>
      <c r="N24" s="58"/>
      <c r="O24" s="58"/>
      <c r="P24" s="59">
        <f>L24/$A$4*12</f>
        <v>458.33333333333331</v>
      </c>
      <c r="Q24" s="59">
        <f t="shared" si="8"/>
        <v>458.33333333333331</v>
      </c>
      <c r="R24" s="65">
        <f t="shared" si="8"/>
        <v>458.33333333333331</v>
      </c>
      <c r="S24" s="59">
        <v>0</v>
      </c>
      <c r="T24" s="59">
        <v>0</v>
      </c>
    </row>
    <row r="25" spans="1:20" x14ac:dyDescent="0.25">
      <c r="B25" s="90" t="s">
        <v>42</v>
      </c>
      <c r="C25" s="91" t="s">
        <v>43</v>
      </c>
      <c r="D25" s="92"/>
      <c r="E25" s="89">
        <v>1</v>
      </c>
      <c r="F25" s="62" t="s">
        <v>140</v>
      </c>
      <c r="G25" s="59">
        <v>7000</v>
      </c>
      <c r="H25" s="59">
        <v>10010</v>
      </c>
      <c r="I25" s="60">
        <f t="shared" si="5"/>
        <v>0.30069930069930068</v>
      </c>
      <c r="J25" s="59">
        <f t="shared" si="9"/>
        <v>7000</v>
      </c>
      <c r="K25" s="59">
        <f t="shared" si="10"/>
        <v>8470</v>
      </c>
      <c r="L25" s="81">
        <f t="shared" si="6"/>
        <v>7000</v>
      </c>
      <c r="M25" s="59">
        <f t="shared" si="7"/>
        <v>8470</v>
      </c>
      <c r="N25" s="58"/>
      <c r="O25" s="58"/>
      <c r="P25" s="59">
        <f t="shared" ref="P25" si="11">L25/$A$4*12</f>
        <v>2333.3333333333335</v>
      </c>
      <c r="Q25" s="59">
        <f t="shared" si="8"/>
        <v>2333.3333333333335</v>
      </c>
      <c r="R25" s="87">
        <f t="shared" si="8"/>
        <v>2333.3333333333335</v>
      </c>
    </row>
    <row r="26" spans="1:20" x14ac:dyDescent="0.25">
      <c r="B26" s="30" t="s">
        <v>44</v>
      </c>
      <c r="C26" s="31" t="s">
        <v>45</v>
      </c>
      <c r="D26" s="8"/>
      <c r="E26" s="20">
        <v>1</v>
      </c>
      <c r="F26" s="62" t="s">
        <v>141</v>
      </c>
      <c r="G26" s="59">
        <v>1375</v>
      </c>
      <c r="H26" s="59">
        <v>1966.8</v>
      </c>
      <c r="I26" s="60">
        <f t="shared" si="5"/>
        <v>0.30089485458612975</v>
      </c>
      <c r="J26" s="59">
        <f t="shared" si="9"/>
        <v>1375</v>
      </c>
      <c r="K26" s="59">
        <f t="shared" si="10"/>
        <v>1663.75</v>
      </c>
      <c r="L26" s="81">
        <f t="shared" si="6"/>
        <v>1375</v>
      </c>
      <c r="M26" s="59">
        <f t="shared" si="7"/>
        <v>1663.75</v>
      </c>
      <c r="N26" s="58"/>
      <c r="O26" s="58"/>
      <c r="P26" s="59">
        <f>L26/$A$4*12</f>
        <v>458.33333333333331</v>
      </c>
      <c r="Q26" s="59">
        <f t="shared" si="8"/>
        <v>458.33333333333331</v>
      </c>
      <c r="R26" s="65">
        <f t="shared" si="8"/>
        <v>458.33333333333331</v>
      </c>
      <c r="S26" s="59">
        <v>0</v>
      </c>
      <c r="T26" s="59">
        <v>0</v>
      </c>
    </row>
    <row r="27" spans="1:20" x14ac:dyDescent="0.25">
      <c r="B27" s="36"/>
      <c r="C27" s="50" t="s">
        <v>114</v>
      </c>
      <c r="D27" s="37"/>
      <c r="E27" s="45"/>
      <c r="J27" s="59"/>
      <c r="K27" s="59"/>
      <c r="N27" s="58"/>
      <c r="O27" s="58"/>
    </row>
    <row r="28" spans="1:20" x14ac:dyDescent="0.25">
      <c r="B28" s="33" t="s">
        <v>106</v>
      </c>
      <c r="C28" s="34" t="s">
        <v>98</v>
      </c>
      <c r="D28" s="35"/>
      <c r="E28" s="38">
        <v>6</v>
      </c>
      <c r="F28" s="62" t="str">
        <f>B28</f>
        <v>05014468001</v>
      </c>
      <c r="G28" s="59">
        <v>2.3199999999999998</v>
      </c>
      <c r="H28" s="59">
        <v>3.02</v>
      </c>
      <c r="I28" s="60">
        <f t="shared" ref="I28:I36" si="12">(H28-G28)/H28</f>
        <v>0.23178807947019872</v>
      </c>
      <c r="J28" s="59">
        <f t="shared" ref="J28:K36" si="13">G28</f>
        <v>2.3199999999999998</v>
      </c>
      <c r="K28" s="59">
        <f t="shared" si="13"/>
        <v>3.02</v>
      </c>
      <c r="L28" s="81">
        <f t="shared" si="6"/>
        <v>13.919999999999998</v>
      </c>
      <c r="M28" s="59">
        <f t="shared" ref="M28:M36" si="14">K28*E28</f>
        <v>18.12</v>
      </c>
      <c r="N28" s="58"/>
      <c r="O28" s="58"/>
      <c r="P28" s="59">
        <f>L28</f>
        <v>13.919999999999998</v>
      </c>
      <c r="Q28" s="59">
        <f>P28</f>
        <v>13.919999999999998</v>
      </c>
      <c r="R28" s="87">
        <f>Q28</f>
        <v>13.919999999999998</v>
      </c>
      <c r="S28" s="87">
        <f>R28</f>
        <v>13.919999999999998</v>
      </c>
      <c r="T28" s="87">
        <f>S28</f>
        <v>13.919999999999998</v>
      </c>
    </row>
    <row r="29" spans="1:20" x14ac:dyDescent="0.25">
      <c r="B29" s="33" t="s">
        <v>107</v>
      </c>
      <c r="C29" s="34" t="s">
        <v>99</v>
      </c>
      <c r="D29" s="35"/>
      <c r="E29" s="38">
        <v>2</v>
      </c>
      <c r="F29" s="62" t="str">
        <f t="shared" ref="F29:F36" si="15">B29</f>
        <v>06572227001</v>
      </c>
      <c r="G29" s="59">
        <v>124.26</v>
      </c>
      <c r="H29" s="59">
        <v>161.54</v>
      </c>
      <c r="I29" s="60">
        <f t="shared" si="12"/>
        <v>0.23077875448805243</v>
      </c>
      <c r="J29" s="59">
        <f t="shared" si="13"/>
        <v>124.26</v>
      </c>
      <c r="K29" s="59">
        <f t="shared" si="13"/>
        <v>161.54</v>
      </c>
      <c r="L29" s="81">
        <f t="shared" si="6"/>
        <v>248.52</v>
      </c>
      <c r="M29" s="59">
        <f t="shared" si="14"/>
        <v>323.08</v>
      </c>
      <c r="N29" s="58"/>
      <c r="O29" s="58"/>
      <c r="P29" s="59">
        <f t="shared" ref="P29:P36" si="16">L29</f>
        <v>248.52</v>
      </c>
      <c r="Q29" s="59">
        <f t="shared" ref="Q29:T36" si="17">P29</f>
        <v>248.52</v>
      </c>
      <c r="R29" s="87">
        <f t="shared" si="17"/>
        <v>248.52</v>
      </c>
      <c r="S29" s="87">
        <f t="shared" si="17"/>
        <v>248.52</v>
      </c>
      <c r="T29" s="87">
        <f t="shared" si="17"/>
        <v>248.52</v>
      </c>
    </row>
    <row r="30" spans="1:20" x14ac:dyDescent="0.25">
      <c r="B30" s="33" t="s">
        <v>108</v>
      </c>
      <c r="C30" s="34" t="s">
        <v>100</v>
      </c>
      <c r="D30" s="35"/>
      <c r="E30" s="38">
        <v>2</v>
      </c>
      <c r="F30" s="62" t="str">
        <f t="shared" si="15"/>
        <v>06934226001</v>
      </c>
      <c r="G30" s="59">
        <v>60.79</v>
      </c>
      <c r="H30" s="59">
        <v>79.03</v>
      </c>
      <c r="I30" s="60">
        <f t="shared" si="12"/>
        <v>0.23079843097557892</v>
      </c>
      <c r="J30" s="59">
        <f t="shared" si="13"/>
        <v>60.79</v>
      </c>
      <c r="K30" s="59">
        <f t="shared" si="13"/>
        <v>79.03</v>
      </c>
      <c r="L30" s="81">
        <f t="shared" si="6"/>
        <v>121.58</v>
      </c>
      <c r="M30" s="59">
        <f t="shared" si="14"/>
        <v>158.06</v>
      </c>
      <c r="N30" s="58"/>
      <c r="O30" s="58"/>
      <c r="P30" s="59">
        <f t="shared" si="16"/>
        <v>121.58</v>
      </c>
      <c r="Q30" s="59">
        <f t="shared" si="17"/>
        <v>121.58</v>
      </c>
      <c r="R30" s="87">
        <f t="shared" si="17"/>
        <v>121.58</v>
      </c>
      <c r="S30" s="87">
        <f t="shared" si="17"/>
        <v>121.58</v>
      </c>
      <c r="T30" s="87">
        <f t="shared" si="17"/>
        <v>121.58</v>
      </c>
    </row>
    <row r="31" spans="1:20" x14ac:dyDescent="0.25">
      <c r="B31" s="33" t="s">
        <v>109</v>
      </c>
      <c r="C31" s="34" t="s">
        <v>101</v>
      </c>
      <c r="D31" s="35"/>
      <c r="E31" s="38">
        <v>2</v>
      </c>
      <c r="F31" s="62" t="str">
        <f t="shared" si="15"/>
        <v>06931090001</v>
      </c>
      <c r="G31" s="59">
        <v>7.84</v>
      </c>
      <c r="H31" s="59">
        <v>10.19</v>
      </c>
      <c r="I31" s="60">
        <f t="shared" si="12"/>
        <v>0.23061825318940135</v>
      </c>
      <c r="J31" s="59">
        <f t="shared" si="13"/>
        <v>7.84</v>
      </c>
      <c r="K31" s="59">
        <f t="shared" si="13"/>
        <v>10.19</v>
      </c>
      <c r="L31" s="81">
        <f t="shared" si="6"/>
        <v>15.68</v>
      </c>
      <c r="M31" s="59">
        <f t="shared" si="14"/>
        <v>20.38</v>
      </c>
      <c r="N31" s="58"/>
      <c r="O31" s="58"/>
      <c r="P31" s="59">
        <f t="shared" si="16"/>
        <v>15.68</v>
      </c>
      <c r="Q31" s="59">
        <f t="shared" si="17"/>
        <v>15.68</v>
      </c>
      <c r="R31" s="87">
        <f t="shared" si="17"/>
        <v>15.68</v>
      </c>
      <c r="S31" s="87">
        <f t="shared" si="17"/>
        <v>15.68</v>
      </c>
      <c r="T31" s="87">
        <f t="shared" si="17"/>
        <v>15.68</v>
      </c>
    </row>
    <row r="32" spans="1:20" x14ac:dyDescent="0.25">
      <c r="B32" s="30" t="s">
        <v>110</v>
      </c>
      <c r="C32" s="31" t="s">
        <v>102</v>
      </c>
      <c r="D32" s="8"/>
      <c r="E32" s="38">
        <v>4</v>
      </c>
      <c r="F32" s="62" t="str">
        <f t="shared" si="15"/>
        <v>06931537001</v>
      </c>
      <c r="G32" s="59">
        <v>0.75</v>
      </c>
      <c r="H32" s="59">
        <v>0.98</v>
      </c>
      <c r="I32" s="60">
        <f t="shared" si="12"/>
        <v>0.23469387755102039</v>
      </c>
      <c r="J32" s="59">
        <f t="shared" si="13"/>
        <v>0.75</v>
      </c>
      <c r="K32" s="59">
        <f t="shared" si="13"/>
        <v>0.98</v>
      </c>
      <c r="L32" s="81">
        <f t="shared" si="6"/>
        <v>3</v>
      </c>
      <c r="M32" s="59">
        <f t="shared" si="14"/>
        <v>3.92</v>
      </c>
      <c r="N32" s="58"/>
      <c r="O32" s="58"/>
      <c r="P32" s="59">
        <f>L32</f>
        <v>3</v>
      </c>
      <c r="Q32" s="59">
        <f t="shared" si="17"/>
        <v>3</v>
      </c>
      <c r="R32" s="87">
        <f t="shared" si="17"/>
        <v>3</v>
      </c>
      <c r="S32" s="87">
        <f t="shared" si="17"/>
        <v>3</v>
      </c>
      <c r="T32" s="87">
        <f t="shared" si="17"/>
        <v>3</v>
      </c>
    </row>
    <row r="33" spans="1:22" x14ac:dyDescent="0.25">
      <c r="B33" s="30" t="s">
        <v>111</v>
      </c>
      <c r="C33" s="31" t="s">
        <v>103</v>
      </c>
      <c r="D33" s="8"/>
      <c r="E33" s="38">
        <v>2</v>
      </c>
      <c r="F33" s="62" t="str">
        <f t="shared" si="15"/>
        <v>05011418001</v>
      </c>
      <c r="G33" s="59">
        <v>0.62</v>
      </c>
      <c r="H33" s="59">
        <v>0.81</v>
      </c>
      <c r="I33" s="60">
        <f t="shared" si="12"/>
        <v>0.23456790123456794</v>
      </c>
      <c r="J33" s="59">
        <f t="shared" si="13"/>
        <v>0.62</v>
      </c>
      <c r="K33" s="59">
        <f t="shared" si="13"/>
        <v>0.81</v>
      </c>
      <c r="L33" s="81">
        <f t="shared" si="6"/>
        <v>1.24</v>
      </c>
      <c r="M33" s="59">
        <f t="shared" si="14"/>
        <v>1.62</v>
      </c>
      <c r="N33" s="58"/>
      <c r="O33" s="58"/>
      <c r="P33" s="59">
        <f t="shared" si="16"/>
        <v>1.24</v>
      </c>
      <c r="Q33" s="59">
        <f t="shared" si="17"/>
        <v>1.24</v>
      </c>
      <c r="R33" s="87">
        <f t="shared" si="17"/>
        <v>1.24</v>
      </c>
      <c r="S33" s="87">
        <f t="shared" si="17"/>
        <v>1.24</v>
      </c>
      <c r="T33" s="87">
        <f t="shared" si="17"/>
        <v>1.24</v>
      </c>
    </row>
    <row r="34" spans="1:22" x14ac:dyDescent="0.25">
      <c r="B34" s="30" t="s">
        <v>112</v>
      </c>
      <c r="C34" s="31" t="s">
        <v>104</v>
      </c>
      <c r="D34" s="8"/>
      <c r="E34" s="38">
        <v>2</v>
      </c>
      <c r="F34" s="62" t="str">
        <f t="shared" si="15"/>
        <v>06572596001</v>
      </c>
      <c r="G34" s="59">
        <v>8.0399999999999991</v>
      </c>
      <c r="H34" s="59">
        <v>10.45</v>
      </c>
      <c r="I34" s="60">
        <f t="shared" si="12"/>
        <v>0.23062200956937801</v>
      </c>
      <c r="J34" s="59">
        <f t="shared" si="13"/>
        <v>8.0399999999999991</v>
      </c>
      <c r="K34" s="59">
        <f t="shared" si="13"/>
        <v>10.45</v>
      </c>
      <c r="L34" s="81">
        <f t="shared" si="6"/>
        <v>16.079999999999998</v>
      </c>
      <c r="M34" s="59">
        <f t="shared" si="14"/>
        <v>20.9</v>
      </c>
      <c r="N34" s="58"/>
      <c r="O34" s="58"/>
      <c r="P34" s="59">
        <f t="shared" si="16"/>
        <v>16.079999999999998</v>
      </c>
      <c r="Q34" s="59">
        <f t="shared" si="17"/>
        <v>16.079999999999998</v>
      </c>
      <c r="R34" s="87">
        <f t="shared" si="17"/>
        <v>16.079999999999998</v>
      </c>
      <c r="S34" s="87">
        <f t="shared" si="17"/>
        <v>16.079999999999998</v>
      </c>
      <c r="T34" s="87">
        <f t="shared" si="17"/>
        <v>16.079999999999998</v>
      </c>
    </row>
    <row r="35" spans="1:22" x14ac:dyDescent="0.25">
      <c r="B35" s="30" t="s">
        <v>113</v>
      </c>
      <c r="C35" s="31" t="s">
        <v>105</v>
      </c>
      <c r="D35" s="8"/>
      <c r="E35" s="38">
        <v>4</v>
      </c>
      <c r="F35" s="62" t="str">
        <f t="shared" si="15"/>
        <v>06572243001</v>
      </c>
      <c r="G35" s="59">
        <v>0.7</v>
      </c>
      <c r="H35" s="59">
        <v>0.91</v>
      </c>
      <c r="I35" s="60">
        <f t="shared" si="12"/>
        <v>0.23076923076923084</v>
      </c>
      <c r="J35" s="59">
        <f t="shared" si="13"/>
        <v>0.7</v>
      </c>
      <c r="K35" s="59">
        <f>H35</f>
        <v>0.91</v>
      </c>
      <c r="L35" s="81">
        <f t="shared" si="6"/>
        <v>2.8</v>
      </c>
      <c r="M35" s="59">
        <f t="shared" si="14"/>
        <v>3.64</v>
      </c>
      <c r="N35" s="58"/>
      <c r="O35" s="58"/>
      <c r="P35" s="59">
        <f t="shared" si="16"/>
        <v>2.8</v>
      </c>
      <c r="Q35" s="59">
        <f t="shared" si="17"/>
        <v>2.8</v>
      </c>
      <c r="R35" s="87">
        <f t="shared" si="17"/>
        <v>2.8</v>
      </c>
      <c r="S35" s="87">
        <f t="shared" si="17"/>
        <v>2.8</v>
      </c>
      <c r="T35" s="87">
        <f t="shared" si="17"/>
        <v>2.8</v>
      </c>
    </row>
    <row r="36" spans="1:22" ht="15.75" thickBot="1" x14ac:dyDescent="0.3">
      <c r="B36" s="12" t="s">
        <v>142</v>
      </c>
      <c r="C36" s="11" t="s">
        <v>115</v>
      </c>
      <c r="D36" s="32"/>
      <c r="E36" s="39">
        <v>30</v>
      </c>
      <c r="F36" s="62" t="str">
        <f t="shared" si="15"/>
        <v>07418248001</v>
      </c>
      <c r="G36" s="59">
        <v>12.17</v>
      </c>
      <c r="H36" s="59">
        <v>24.98</v>
      </c>
      <c r="I36" s="60">
        <f t="shared" si="12"/>
        <v>0.5128102481985588</v>
      </c>
      <c r="J36" s="59">
        <f t="shared" si="13"/>
        <v>12.17</v>
      </c>
      <c r="K36" s="59">
        <v>24.98</v>
      </c>
      <c r="L36" s="81">
        <f t="shared" si="6"/>
        <v>365.1</v>
      </c>
      <c r="M36" s="59">
        <f t="shared" si="14"/>
        <v>749.4</v>
      </c>
      <c r="N36" s="58"/>
      <c r="O36" s="58"/>
      <c r="P36" s="59">
        <f t="shared" si="16"/>
        <v>365.1</v>
      </c>
      <c r="Q36" s="59">
        <f t="shared" si="17"/>
        <v>365.1</v>
      </c>
      <c r="R36" s="87">
        <f t="shared" si="17"/>
        <v>365.1</v>
      </c>
      <c r="S36" s="87">
        <f t="shared" si="17"/>
        <v>365.1</v>
      </c>
      <c r="T36" s="87">
        <f t="shared" si="17"/>
        <v>365.1</v>
      </c>
    </row>
    <row r="37" spans="1:22" ht="15.75" thickBot="1" x14ac:dyDescent="0.3">
      <c r="A37" s="16"/>
      <c r="B37" s="179" t="s">
        <v>51</v>
      </c>
      <c r="C37" s="180"/>
      <c r="D37" s="10"/>
      <c r="E37" s="10"/>
      <c r="J37" s="59"/>
      <c r="K37" s="59"/>
      <c r="N37" s="58"/>
      <c r="O37" s="58"/>
    </row>
    <row r="38" spans="1:22" x14ac:dyDescent="0.25">
      <c r="C38" s="13"/>
      <c r="D38" s="9"/>
      <c r="J38" s="59"/>
      <c r="K38" s="59"/>
      <c r="N38" s="58"/>
      <c r="O38" s="58"/>
    </row>
    <row r="39" spans="1:22" x14ac:dyDescent="0.25">
      <c r="J39" s="59"/>
      <c r="K39" s="59"/>
      <c r="N39" s="58"/>
      <c r="O39" s="58"/>
    </row>
    <row r="40" spans="1:22" x14ac:dyDescent="0.25">
      <c r="B40" s="7" t="s">
        <v>49</v>
      </c>
      <c r="C40" s="7"/>
      <c r="J40" s="59"/>
      <c r="K40" s="59"/>
      <c r="N40" s="58"/>
      <c r="O40" s="58"/>
    </row>
    <row r="41" spans="1:22" x14ac:dyDescent="0.25">
      <c r="A41" s="17" t="s">
        <v>53</v>
      </c>
      <c r="B41" s="1" t="s">
        <v>46</v>
      </c>
      <c r="C41" s="1" t="s">
        <v>47</v>
      </c>
      <c r="D41" s="1" t="s">
        <v>48</v>
      </c>
      <c r="E41" s="1" t="s">
        <v>72</v>
      </c>
      <c r="J41" s="59"/>
      <c r="K41" s="59"/>
      <c r="N41" s="58"/>
      <c r="O41" s="58"/>
    </row>
    <row r="42" spans="1:22" s="70" customFormat="1" x14ac:dyDescent="0.25">
      <c r="A42" s="17">
        <v>60</v>
      </c>
      <c r="B42" s="1"/>
      <c r="C42" s="1" t="s">
        <v>161</v>
      </c>
      <c r="D42" s="1"/>
      <c r="E42" s="1"/>
      <c r="F42" s="68"/>
      <c r="G42" s="69">
        <f>SUM(G43:G53)</f>
        <v>67315.19</v>
      </c>
      <c r="H42" s="69">
        <f>SUM(H43:H53)</f>
        <v>82725.25</v>
      </c>
      <c r="J42" s="69">
        <f>SUM(J43:J53)</f>
        <v>42975.189999999995</v>
      </c>
      <c r="K42" s="69">
        <f>SUM(K43:K53)</f>
        <v>53399.465653282961</v>
      </c>
      <c r="L42" s="69">
        <f t="shared" ref="L42:M42" si="18">SUM(L43:L53)</f>
        <v>44576.14</v>
      </c>
      <c r="M42" s="69">
        <f t="shared" si="18"/>
        <v>55080.463153282966</v>
      </c>
      <c r="N42" s="79">
        <f>-PV($N$2,A42,M42/A42)</f>
        <v>54101.264457185687</v>
      </c>
      <c r="O42" s="79">
        <f>ROUND(N42/A42,0)</f>
        <v>902</v>
      </c>
      <c r="P42" s="69"/>
      <c r="Q42" s="69"/>
    </row>
    <row r="43" spans="1:22" x14ac:dyDescent="0.25">
      <c r="A43" s="75"/>
      <c r="B43" s="95">
        <v>4745868001</v>
      </c>
      <c r="C43" s="95" t="s">
        <v>54</v>
      </c>
      <c r="D43" s="95" t="s">
        <v>59</v>
      </c>
      <c r="E43" s="89">
        <v>1</v>
      </c>
      <c r="F43" s="63">
        <v>4745868001</v>
      </c>
      <c r="G43" s="59">
        <v>18365</v>
      </c>
      <c r="H43" s="59">
        <v>20997.45</v>
      </c>
      <c r="I43" s="60">
        <f t="shared" ref="I43:I46" si="19">(H43-G43)/H43</f>
        <v>0.12536998540298944</v>
      </c>
      <c r="J43" s="59">
        <v>11112</v>
      </c>
      <c r="K43" s="59">
        <v>13340.040708957256</v>
      </c>
      <c r="L43" s="81">
        <f t="shared" ref="L43:L46" si="20">E43*J43</f>
        <v>11112</v>
      </c>
      <c r="M43" s="59">
        <f t="shared" ref="M43:M46" si="21">K43*E43</f>
        <v>13340.040708957256</v>
      </c>
      <c r="N43" s="58"/>
      <c r="O43" s="58"/>
      <c r="P43" s="59">
        <f>G43/$A$42*12</f>
        <v>3673</v>
      </c>
      <c r="Q43" s="59">
        <f t="shared" ref="Q43:R46" si="22">P43</f>
        <v>3673</v>
      </c>
      <c r="R43" s="59">
        <f t="shared" si="22"/>
        <v>3673</v>
      </c>
      <c r="S43" s="87">
        <f>-((R43)*3-L43)</f>
        <v>93</v>
      </c>
      <c r="T43" s="87">
        <v>0</v>
      </c>
      <c r="V43" s="65"/>
    </row>
    <row r="44" spans="1:22" x14ac:dyDescent="0.25">
      <c r="A44" s="75"/>
      <c r="B44" s="95">
        <v>4745914001</v>
      </c>
      <c r="C44" s="95" t="s">
        <v>55</v>
      </c>
      <c r="D44" s="95" t="s">
        <v>60</v>
      </c>
      <c r="E44" s="89">
        <v>1</v>
      </c>
      <c r="F44" s="63">
        <v>4745914001</v>
      </c>
      <c r="G44" s="59">
        <v>41177</v>
      </c>
      <c r="H44" s="59">
        <v>51436.52</v>
      </c>
      <c r="I44" s="60">
        <f t="shared" si="19"/>
        <v>0.19945983904043271</v>
      </c>
      <c r="J44" s="59">
        <v>24926</v>
      </c>
      <c r="K44" s="59">
        <v>32693.300444325712</v>
      </c>
      <c r="L44" s="81">
        <f t="shared" si="20"/>
        <v>24926</v>
      </c>
      <c r="M44" s="59">
        <f t="shared" si="21"/>
        <v>32693.300444325712</v>
      </c>
      <c r="N44" s="58"/>
      <c r="O44" s="58"/>
      <c r="P44" s="59">
        <f>G44/$A$42*12</f>
        <v>8235.4</v>
      </c>
      <c r="Q44" s="59">
        <f t="shared" si="22"/>
        <v>8235.4</v>
      </c>
      <c r="R44" s="59">
        <f t="shared" si="22"/>
        <v>8235.4</v>
      </c>
      <c r="S44" s="87">
        <f>-((R44)*3-L44)</f>
        <v>219.80000000000291</v>
      </c>
      <c r="T44">
        <v>0</v>
      </c>
    </row>
    <row r="45" spans="1:22" x14ac:dyDescent="0.25">
      <c r="A45" s="75"/>
      <c r="B45" s="14">
        <v>4433297001</v>
      </c>
      <c r="C45" s="14" t="s">
        <v>56</v>
      </c>
      <c r="D45" s="14" t="s">
        <v>61</v>
      </c>
      <c r="E45" s="19">
        <v>1</v>
      </c>
      <c r="F45" s="63">
        <v>4433297001</v>
      </c>
      <c r="G45" s="59">
        <v>1026</v>
      </c>
      <c r="H45" s="59">
        <v>1448.1</v>
      </c>
      <c r="I45" s="60">
        <f t="shared" si="19"/>
        <v>0.29148539465506523</v>
      </c>
      <c r="J45" s="59">
        <v>190</v>
      </c>
      <c r="K45" s="59">
        <v>281.57499999999999</v>
      </c>
      <c r="L45" s="81">
        <f t="shared" si="20"/>
        <v>190</v>
      </c>
      <c r="M45" s="59">
        <f t="shared" si="21"/>
        <v>281.57499999999999</v>
      </c>
      <c r="N45" s="58"/>
      <c r="O45" s="58"/>
      <c r="P45" s="59">
        <f>L45/$A$4*12</f>
        <v>63.333333333333329</v>
      </c>
      <c r="Q45" s="59">
        <f t="shared" si="22"/>
        <v>63.333333333333329</v>
      </c>
      <c r="R45" s="65">
        <f t="shared" si="22"/>
        <v>63.333333333333329</v>
      </c>
      <c r="S45">
        <v>0</v>
      </c>
      <c r="T45">
        <v>0</v>
      </c>
    </row>
    <row r="46" spans="1:22" x14ac:dyDescent="0.25">
      <c r="A46" s="75"/>
      <c r="B46" s="15"/>
      <c r="C46" s="15" t="s">
        <v>57</v>
      </c>
      <c r="D46" s="15" t="s">
        <v>58</v>
      </c>
      <c r="E46" s="20">
        <v>1</v>
      </c>
      <c r="F46" s="63" t="s">
        <v>163</v>
      </c>
      <c r="G46" s="59">
        <v>1448.1</v>
      </c>
      <c r="H46" s="59">
        <v>1883</v>
      </c>
      <c r="I46" s="60">
        <f t="shared" si="19"/>
        <v>0.23096123207647376</v>
      </c>
      <c r="J46" s="59">
        <f>G46</f>
        <v>1448.1</v>
      </c>
      <c r="K46" s="59">
        <f>G46*1.05</f>
        <v>1520.5049999999999</v>
      </c>
      <c r="L46" s="81">
        <f t="shared" si="20"/>
        <v>1448.1</v>
      </c>
      <c r="M46" s="59">
        <f t="shared" si="21"/>
        <v>1520.5049999999999</v>
      </c>
      <c r="N46" s="58"/>
      <c r="O46" s="58"/>
      <c r="P46" s="59">
        <f>L46/$A$4*12</f>
        <v>482.69999999999993</v>
      </c>
      <c r="Q46" s="59">
        <f t="shared" si="22"/>
        <v>482.69999999999993</v>
      </c>
      <c r="R46" s="65">
        <f t="shared" si="22"/>
        <v>482.69999999999993</v>
      </c>
      <c r="S46">
        <v>0</v>
      </c>
      <c r="T46">
        <v>0</v>
      </c>
    </row>
    <row r="47" spans="1:22" x14ac:dyDescent="0.25">
      <c r="A47" s="75"/>
      <c r="B47" s="6"/>
      <c r="C47" s="21" t="s">
        <v>73</v>
      </c>
      <c r="D47" s="6"/>
      <c r="E47" s="45"/>
      <c r="J47" s="59"/>
      <c r="K47" s="59"/>
      <c r="N47" s="58"/>
      <c r="O47" s="58"/>
      <c r="Q47" s="59">
        <v>0</v>
      </c>
    </row>
    <row r="48" spans="1:22" x14ac:dyDescent="0.25">
      <c r="A48" s="75"/>
      <c r="B48" s="96">
        <v>4885775001</v>
      </c>
      <c r="C48" s="96" t="s">
        <v>66</v>
      </c>
      <c r="D48" s="96"/>
      <c r="E48" s="89">
        <v>1</v>
      </c>
      <c r="F48" s="63">
        <v>4885775001</v>
      </c>
      <c r="G48" s="59">
        <v>4435</v>
      </c>
      <c r="H48" s="59">
        <v>5213.16</v>
      </c>
      <c r="I48" s="60">
        <f>(H48-G48)/H48</f>
        <v>0.14926838999762138</v>
      </c>
      <c r="J48" s="59">
        <f>G48</f>
        <v>4435</v>
      </c>
      <c r="K48" s="59">
        <f t="shared" ref="K48" si="23">G48*1.05</f>
        <v>4656.75</v>
      </c>
      <c r="L48" s="81">
        <f t="shared" ref="L48" si="24">E48*G48</f>
        <v>4435</v>
      </c>
      <c r="M48" s="59">
        <f t="shared" ref="M48" si="25">K48*E48</f>
        <v>4656.75</v>
      </c>
      <c r="N48" s="58"/>
      <c r="O48" s="58"/>
      <c r="P48" s="59">
        <f>G48/$A$42*12</f>
        <v>887</v>
      </c>
      <c r="Q48" s="59">
        <f>P48</f>
        <v>887</v>
      </c>
      <c r="R48" s="87">
        <f>Q48</f>
        <v>887</v>
      </c>
      <c r="S48" s="65">
        <f>R48</f>
        <v>887</v>
      </c>
      <c r="T48" s="65">
        <f>S48</f>
        <v>887</v>
      </c>
    </row>
    <row r="49" spans="1:20" x14ac:dyDescent="0.25">
      <c r="B49" s="42"/>
      <c r="C49" s="51" t="s">
        <v>97</v>
      </c>
      <c r="D49" s="42"/>
      <c r="E49" s="44"/>
      <c r="J49" s="59"/>
      <c r="K49" s="59"/>
      <c r="N49" s="58"/>
      <c r="O49" s="58"/>
    </row>
    <row r="50" spans="1:20" x14ac:dyDescent="0.25">
      <c r="B50" s="14" t="s">
        <v>119</v>
      </c>
      <c r="C50" s="14" t="s">
        <v>116</v>
      </c>
      <c r="D50" s="14"/>
      <c r="E50" s="19">
        <v>8</v>
      </c>
      <c r="F50" s="63" t="s">
        <v>119</v>
      </c>
      <c r="G50" s="59">
        <v>156.5</v>
      </c>
      <c r="H50" s="59">
        <v>331</v>
      </c>
      <c r="I50" s="60">
        <f t="shared" ref="I50:I53" si="26">(H50-G50)/H50</f>
        <v>0.52719033232628398</v>
      </c>
      <c r="J50" s="59">
        <f t="shared" ref="J50:J53" si="27">G50</f>
        <v>156.5</v>
      </c>
      <c r="K50" s="59">
        <f t="shared" ref="K50:K53" si="28">G50*1.05</f>
        <v>164.32500000000002</v>
      </c>
      <c r="L50" s="81">
        <f t="shared" ref="L50:L53" si="29">E50*G50</f>
        <v>1252</v>
      </c>
      <c r="M50" s="59">
        <f t="shared" ref="M50:M53" si="30">K50*E50</f>
        <v>1314.6000000000001</v>
      </c>
      <c r="N50" s="58"/>
      <c r="O50" s="58"/>
      <c r="P50" s="59">
        <f t="shared" ref="P50:P53" si="31">L50</f>
        <v>1252</v>
      </c>
      <c r="Q50" s="59">
        <f>P50</f>
        <v>1252</v>
      </c>
      <c r="R50" s="87">
        <f t="shared" ref="R50:T50" si="32">Q50</f>
        <v>1252</v>
      </c>
      <c r="S50" s="87">
        <f t="shared" si="32"/>
        <v>1252</v>
      </c>
      <c r="T50" s="87">
        <f t="shared" si="32"/>
        <v>1252</v>
      </c>
    </row>
    <row r="51" spans="1:20" x14ac:dyDescent="0.25">
      <c r="B51" s="14" t="s">
        <v>120</v>
      </c>
      <c r="C51" s="40" t="s">
        <v>117</v>
      </c>
      <c r="D51" s="14"/>
      <c r="E51" s="19">
        <v>1</v>
      </c>
      <c r="F51" s="63" t="s">
        <v>120</v>
      </c>
      <c r="G51" s="59">
        <v>542.9</v>
      </c>
      <c r="H51" s="59">
        <v>1086</v>
      </c>
      <c r="I51" s="60">
        <f t="shared" si="26"/>
        <v>0.50009208103130753</v>
      </c>
      <c r="J51" s="59">
        <f t="shared" si="27"/>
        <v>542.9</v>
      </c>
      <c r="K51" s="59">
        <f t="shared" si="28"/>
        <v>570.04499999999996</v>
      </c>
      <c r="L51" s="81">
        <f t="shared" si="29"/>
        <v>542.9</v>
      </c>
      <c r="M51" s="59">
        <f t="shared" si="30"/>
        <v>570.04499999999996</v>
      </c>
      <c r="N51" s="58"/>
      <c r="O51" s="58"/>
      <c r="P51" s="59">
        <f t="shared" si="31"/>
        <v>542.9</v>
      </c>
      <c r="Q51" s="59">
        <f t="shared" ref="Q51:T53" si="33">P51</f>
        <v>542.9</v>
      </c>
      <c r="R51" s="87">
        <f t="shared" si="33"/>
        <v>542.9</v>
      </c>
      <c r="S51" s="87">
        <f t="shared" si="33"/>
        <v>542.9</v>
      </c>
      <c r="T51" s="87">
        <f t="shared" si="33"/>
        <v>542.9</v>
      </c>
    </row>
    <row r="52" spans="1:20" x14ac:dyDescent="0.25">
      <c r="B52" s="15" t="s">
        <v>121</v>
      </c>
      <c r="C52" s="15" t="s">
        <v>118</v>
      </c>
      <c r="D52" s="40"/>
      <c r="E52" s="20">
        <v>2</v>
      </c>
      <c r="F52" s="63" t="s">
        <v>121</v>
      </c>
      <c r="G52" s="59">
        <v>152.52000000000001</v>
      </c>
      <c r="H52" s="59">
        <v>305.04000000000002</v>
      </c>
      <c r="I52" s="60">
        <f t="shared" si="26"/>
        <v>0.5</v>
      </c>
      <c r="J52" s="59">
        <f t="shared" si="27"/>
        <v>152.52000000000001</v>
      </c>
      <c r="K52" s="59">
        <f t="shared" si="28"/>
        <v>160.14600000000002</v>
      </c>
      <c r="L52" s="81">
        <f t="shared" si="29"/>
        <v>305.04000000000002</v>
      </c>
      <c r="M52" s="59">
        <f t="shared" si="30"/>
        <v>320.29200000000003</v>
      </c>
      <c r="N52" s="58"/>
      <c r="O52" s="58"/>
      <c r="P52" s="59">
        <f t="shared" si="31"/>
        <v>305.04000000000002</v>
      </c>
      <c r="Q52" s="59">
        <f t="shared" si="33"/>
        <v>305.04000000000002</v>
      </c>
      <c r="R52" s="87">
        <f t="shared" si="33"/>
        <v>305.04000000000002</v>
      </c>
      <c r="S52" s="87">
        <f t="shared" si="33"/>
        <v>305.04000000000002</v>
      </c>
      <c r="T52" s="87">
        <f t="shared" si="33"/>
        <v>305.04000000000002</v>
      </c>
    </row>
    <row r="53" spans="1:20" ht="15.75" thickBot="1" x14ac:dyDescent="0.3">
      <c r="B53" s="12" t="s">
        <v>142</v>
      </c>
      <c r="C53" s="11" t="s">
        <v>115</v>
      </c>
      <c r="D53" s="47"/>
      <c r="E53" s="49">
        <v>30</v>
      </c>
      <c r="F53" s="64" t="s">
        <v>142</v>
      </c>
      <c r="G53" s="59">
        <v>12.17</v>
      </c>
      <c r="H53" s="59">
        <v>24.98</v>
      </c>
      <c r="I53" s="60">
        <f t="shared" si="26"/>
        <v>0.5128102481985588</v>
      </c>
      <c r="J53" s="59">
        <f t="shared" si="27"/>
        <v>12.17</v>
      </c>
      <c r="K53" s="59">
        <f t="shared" si="28"/>
        <v>12.778500000000001</v>
      </c>
      <c r="L53" s="81">
        <f t="shared" si="29"/>
        <v>365.1</v>
      </c>
      <c r="M53" s="59">
        <f t="shared" si="30"/>
        <v>383.35500000000002</v>
      </c>
      <c r="N53" s="58"/>
      <c r="O53" s="58"/>
      <c r="P53" s="59">
        <f t="shared" si="31"/>
        <v>365.1</v>
      </c>
      <c r="Q53" s="59">
        <f t="shared" si="33"/>
        <v>365.1</v>
      </c>
      <c r="R53" s="87">
        <f t="shared" si="33"/>
        <v>365.1</v>
      </c>
      <c r="S53" s="87">
        <f t="shared" si="33"/>
        <v>365.1</v>
      </c>
      <c r="T53" s="87">
        <f t="shared" si="33"/>
        <v>365.1</v>
      </c>
    </row>
    <row r="54" spans="1:20" ht="15.75" thickBot="1" x14ac:dyDescent="0.3">
      <c r="B54" s="177" t="s">
        <v>51</v>
      </c>
      <c r="C54" s="178"/>
      <c r="D54" s="46"/>
      <c r="E54" s="48"/>
      <c r="J54" s="59"/>
      <c r="K54" s="59"/>
      <c r="N54" s="58"/>
      <c r="O54" s="58"/>
    </row>
    <row r="55" spans="1:20" x14ac:dyDescent="0.25">
      <c r="D55" s="9"/>
      <c r="J55" s="59"/>
      <c r="K55" s="59"/>
      <c r="N55" s="58"/>
      <c r="O55" s="58"/>
    </row>
    <row r="56" spans="1:20" x14ac:dyDescent="0.25">
      <c r="D56" s="13"/>
      <c r="J56" s="59"/>
      <c r="K56" s="59"/>
      <c r="N56" s="58"/>
      <c r="O56" s="58"/>
    </row>
    <row r="57" spans="1:20" x14ac:dyDescent="0.25">
      <c r="A57" s="17" t="s">
        <v>64</v>
      </c>
      <c r="B57" s="1" t="s">
        <v>46</v>
      </c>
      <c r="C57" s="1" t="s">
        <v>47</v>
      </c>
      <c r="D57" s="1" t="s">
        <v>48</v>
      </c>
      <c r="E57" s="1" t="s">
        <v>72</v>
      </c>
      <c r="J57" s="59"/>
      <c r="K57" s="59"/>
      <c r="N57" s="58"/>
      <c r="O57" s="58"/>
    </row>
    <row r="58" spans="1:20" s="70" customFormat="1" x14ac:dyDescent="0.25">
      <c r="A58" s="17">
        <v>60</v>
      </c>
      <c r="B58" s="1"/>
      <c r="C58" s="1" t="s">
        <v>161</v>
      </c>
      <c r="D58" s="1"/>
      <c r="E58" s="1"/>
      <c r="F58" s="68"/>
      <c r="G58" s="69">
        <f>SUM(G59:G67)</f>
        <v>61038.32</v>
      </c>
      <c r="H58" s="69">
        <f>SUM(H59:H67)</f>
        <v>72049.099999999977</v>
      </c>
      <c r="J58" s="69">
        <f>SUM(J59:J67)</f>
        <v>61038.32</v>
      </c>
      <c r="K58" s="69">
        <f>SUM(K59:K67)</f>
        <v>73833.171999999991</v>
      </c>
      <c r="L58" s="69">
        <f t="shared" ref="L58:M58" si="34">SUM(L59:L67)</f>
        <v>62210.000000000007</v>
      </c>
      <c r="M58" s="69">
        <f t="shared" si="34"/>
        <v>75214.059999999983</v>
      </c>
      <c r="N58" s="79">
        <f>-PV($N$2,A58,M58/A58)</f>
        <v>73876.93417963016</v>
      </c>
      <c r="O58" s="79">
        <f>ROUND(N58/A58,0)</f>
        <v>1231</v>
      </c>
      <c r="P58" s="69"/>
      <c r="Q58" s="69"/>
    </row>
    <row r="59" spans="1:20" x14ac:dyDescent="0.25">
      <c r="B59" s="95">
        <v>4745922001</v>
      </c>
      <c r="C59" s="95" t="s">
        <v>62</v>
      </c>
      <c r="D59" s="92"/>
      <c r="E59" s="89">
        <v>1</v>
      </c>
      <c r="F59" s="63">
        <v>4745922001</v>
      </c>
      <c r="G59" s="59">
        <v>46078</v>
      </c>
      <c r="H59" s="59">
        <v>55607.040000000001</v>
      </c>
      <c r="I59" s="60">
        <f t="shared" ref="I59:I63" si="35">(H59-G59)/H59</f>
        <v>0.17136391363395714</v>
      </c>
      <c r="J59" s="59">
        <f t="shared" ref="J59:J63" si="36">G59</f>
        <v>46078</v>
      </c>
      <c r="K59" s="59">
        <f t="shared" ref="K59:K63" si="37">G59*(1+$K$2)</f>
        <v>55754.38</v>
      </c>
      <c r="L59" s="81">
        <f t="shared" ref="L59:L63" si="38">E59*G59</f>
        <v>46078</v>
      </c>
      <c r="M59" s="59">
        <f t="shared" ref="M59:M63" si="39">K59*E59</f>
        <v>55754.38</v>
      </c>
      <c r="N59" s="58"/>
      <c r="O59" s="58"/>
      <c r="P59" s="81">
        <f>G59/$A$58*12</f>
        <v>9215.6</v>
      </c>
      <c r="Q59" s="59">
        <f t="shared" ref="Q59:Q61" si="40">P59</f>
        <v>9215.6</v>
      </c>
      <c r="R59" s="87">
        <f t="shared" ref="R59:T61" si="41">Q59</f>
        <v>9215.6</v>
      </c>
      <c r="S59" s="65">
        <f t="shared" si="41"/>
        <v>9215.6</v>
      </c>
      <c r="T59" s="65">
        <f t="shared" si="41"/>
        <v>9215.6</v>
      </c>
    </row>
    <row r="60" spans="1:20" x14ac:dyDescent="0.25">
      <c r="B60" s="95">
        <v>4885783001</v>
      </c>
      <c r="C60" s="95" t="s">
        <v>68</v>
      </c>
      <c r="D60" s="92"/>
      <c r="E60" s="89">
        <v>1</v>
      </c>
      <c r="F60" s="63">
        <v>4885783001</v>
      </c>
      <c r="G60" s="59">
        <v>4659</v>
      </c>
      <c r="H60" s="59">
        <v>5213.16</v>
      </c>
      <c r="I60" s="60">
        <f t="shared" si="35"/>
        <v>0.10630020946988004</v>
      </c>
      <c r="J60" s="59">
        <f t="shared" si="36"/>
        <v>4659</v>
      </c>
      <c r="K60" s="59">
        <f t="shared" si="37"/>
        <v>5637.3899999999994</v>
      </c>
      <c r="L60" s="81">
        <f t="shared" si="38"/>
        <v>4659</v>
      </c>
      <c r="M60" s="59">
        <f t="shared" si="39"/>
        <v>5637.3899999999994</v>
      </c>
      <c r="N60" s="58"/>
      <c r="O60" s="58"/>
      <c r="P60" s="81">
        <f t="shared" ref="P60:P61" si="42">G60/$A$58*12</f>
        <v>931.80000000000007</v>
      </c>
      <c r="Q60" s="59">
        <f t="shared" si="40"/>
        <v>931.80000000000007</v>
      </c>
      <c r="R60" s="87">
        <f t="shared" si="41"/>
        <v>931.80000000000007</v>
      </c>
      <c r="S60" s="65">
        <f t="shared" si="41"/>
        <v>931.80000000000007</v>
      </c>
      <c r="T60" s="65">
        <f t="shared" si="41"/>
        <v>931.80000000000007</v>
      </c>
    </row>
    <row r="61" spans="1:20" x14ac:dyDescent="0.25">
      <c r="B61" s="95">
        <v>4745876001</v>
      </c>
      <c r="C61" s="95" t="s">
        <v>96</v>
      </c>
      <c r="D61" s="92"/>
      <c r="E61" s="89">
        <v>1</v>
      </c>
      <c r="F61" s="63">
        <v>4745876001</v>
      </c>
      <c r="G61" s="59">
        <v>9067</v>
      </c>
      <c r="H61" s="59">
        <v>9470.57</v>
      </c>
      <c r="I61" s="60">
        <f t="shared" si="35"/>
        <v>4.2613063416457479E-2</v>
      </c>
      <c r="J61" s="59">
        <f t="shared" si="36"/>
        <v>9067</v>
      </c>
      <c r="K61" s="59">
        <f t="shared" si="37"/>
        <v>10971.07</v>
      </c>
      <c r="L61" s="81">
        <f t="shared" si="38"/>
        <v>9067</v>
      </c>
      <c r="M61" s="59">
        <f t="shared" si="39"/>
        <v>10971.07</v>
      </c>
      <c r="N61" s="58"/>
      <c r="O61" s="58"/>
      <c r="P61" s="81">
        <f t="shared" si="42"/>
        <v>1813.4</v>
      </c>
      <c r="Q61" s="59">
        <f t="shared" si="40"/>
        <v>1813.4</v>
      </c>
      <c r="R61" s="87">
        <f t="shared" si="41"/>
        <v>1813.4</v>
      </c>
      <c r="S61" s="65">
        <f t="shared" si="41"/>
        <v>1813.4</v>
      </c>
      <c r="T61" s="65">
        <f t="shared" si="41"/>
        <v>1813.4</v>
      </c>
    </row>
    <row r="62" spans="1:20" x14ac:dyDescent="0.25">
      <c r="B62" s="14">
        <v>5151643001</v>
      </c>
      <c r="C62" s="14" t="s">
        <v>63</v>
      </c>
      <c r="D62" s="4"/>
      <c r="E62" s="19">
        <v>2</v>
      </c>
      <c r="F62" s="63">
        <v>5151643001</v>
      </c>
      <c r="G62" s="59">
        <v>941.4</v>
      </c>
      <c r="H62" s="59">
        <v>1347.97</v>
      </c>
      <c r="I62" s="60">
        <f t="shared" si="35"/>
        <v>0.3016165048183565</v>
      </c>
      <c r="J62" s="59">
        <f t="shared" si="36"/>
        <v>941.4</v>
      </c>
      <c r="K62" s="59">
        <f t="shared" si="37"/>
        <v>1139.0940000000001</v>
      </c>
      <c r="L62" s="81">
        <f t="shared" si="38"/>
        <v>1882.8</v>
      </c>
      <c r="M62" s="59">
        <f t="shared" si="39"/>
        <v>2278.1880000000001</v>
      </c>
      <c r="N62" s="58"/>
      <c r="O62" s="58"/>
      <c r="P62" s="59">
        <f>L62/$A$4*12</f>
        <v>627.59999999999991</v>
      </c>
      <c r="Q62" s="59">
        <f>P62</f>
        <v>627.59999999999991</v>
      </c>
      <c r="R62" s="65">
        <f>Q62</f>
        <v>627.59999999999991</v>
      </c>
      <c r="S62" s="59">
        <v>0</v>
      </c>
      <c r="T62" s="59">
        <v>0</v>
      </c>
    </row>
    <row r="63" spans="1:20" x14ac:dyDescent="0.25">
      <c r="B63" s="14">
        <v>5551471001</v>
      </c>
      <c r="C63" s="14" t="s">
        <v>74</v>
      </c>
      <c r="D63" s="4"/>
      <c r="E63" s="14">
        <v>1</v>
      </c>
      <c r="F63" s="63">
        <v>5551471001</v>
      </c>
      <c r="G63" s="59">
        <v>147.94999999999999</v>
      </c>
      <c r="H63" s="59">
        <v>202.73</v>
      </c>
      <c r="I63" s="60">
        <f t="shared" si="35"/>
        <v>0.27021161150298428</v>
      </c>
      <c r="J63" s="59">
        <f t="shared" si="36"/>
        <v>147.94999999999999</v>
      </c>
      <c r="K63" s="59">
        <f t="shared" si="37"/>
        <v>179.01949999999999</v>
      </c>
      <c r="L63" s="81">
        <f t="shared" si="38"/>
        <v>147.94999999999999</v>
      </c>
      <c r="M63" s="59">
        <f t="shared" si="39"/>
        <v>179.01949999999999</v>
      </c>
      <c r="N63" s="58"/>
      <c r="O63" s="58"/>
      <c r="P63" s="59">
        <f>L63/$A$4*12</f>
        <v>49.316666666666663</v>
      </c>
      <c r="Q63" s="59">
        <f>P63</f>
        <v>49.316666666666663</v>
      </c>
      <c r="R63" s="65">
        <f>Q63</f>
        <v>49.316666666666663</v>
      </c>
      <c r="S63" s="59">
        <v>0</v>
      </c>
      <c r="T63" s="59">
        <v>0</v>
      </c>
    </row>
    <row r="64" spans="1:20" x14ac:dyDescent="0.25">
      <c r="B64" s="42"/>
      <c r="C64" s="51" t="s">
        <v>97</v>
      </c>
      <c r="D64" s="42"/>
      <c r="E64" s="44"/>
      <c r="J64" s="59"/>
      <c r="K64" s="59"/>
      <c r="N64" s="58"/>
      <c r="O64" s="58"/>
    </row>
    <row r="65" spans="1:20" x14ac:dyDescent="0.25">
      <c r="B65" s="14" t="s">
        <v>124</v>
      </c>
      <c r="C65" s="14" t="s">
        <v>122</v>
      </c>
      <c r="D65" s="4"/>
      <c r="E65" s="14">
        <v>1</v>
      </c>
      <c r="F65" s="63" t="s">
        <v>124</v>
      </c>
      <c r="G65" s="59">
        <v>72.900000000000006</v>
      </c>
      <c r="H65" s="59">
        <v>100.23</v>
      </c>
      <c r="I65" s="60">
        <f t="shared" ref="I65:I67" si="43">(H65-G65)/H65</f>
        <v>0.27267285243938938</v>
      </c>
      <c r="J65" s="59">
        <f t="shared" ref="J65:J67" si="44">G65</f>
        <v>72.900000000000006</v>
      </c>
      <c r="K65" s="59">
        <f t="shared" ref="K65:K67" si="45">G65*1.05</f>
        <v>76.545000000000016</v>
      </c>
      <c r="L65" s="81">
        <f t="shared" ref="L65:L67" si="46">E65*G65</f>
        <v>72.900000000000006</v>
      </c>
      <c r="M65" s="59">
        <f t="shared" ref="M65:M67" si="47">K65*E65</f>
        <v>76.545000000000016</v>
      </c>
      <c r="N65" s="58"/>
      <c r="O65" s="58"/>
      <c r="P65" s="59">
        <f>L65</f>
        <v>72.900000000000006</v>
      </c>
      <c r="Q65" s="59">
        <f t="shared" ref="Q65:T67" si="48">P65</f>
        <v>72.900000000000006</v>
      </c>
      <c r="R65" s="87">
        <f t="shared" si="48"/>
        <v>72.900000000000006</v>
      </c>
      <c r="S65" s="87">
        <f t="shared" si="48"/>
        <v>72.900000000000006</v>
      </c>
      <c r="T65" s="87">
        <f t="shared" si="48"/>
        <v>72.900000000000006</v>
      </c>
    </row>
    <row r="66" spans="1:20" x14ac:dyDescent="0.25">
      <c r="B66" s="14">
        <v>3060039001</v>
      </c>
      <c r="C66" s="14" t="s">
        <v>123</v>
      </c>
      <c r="D66" s="4"/>
      <c r="E66" s="14">
        <v>2</v>
      </c>
      <c r="F66" s="63">
        <v>3060039001</v>
      </c>
      <c r="G66" s="59">
        <v>59.9</v>
      </c>
      <c r="H66" s="59">
        <v>82.42</v>
      </c>
      <c r="I66" s="60">
        <f t="shared" si="43"/>
        <v>0.27323465178354772</v>
      </c>
      <c r="J66" s="59">
        <f t="shared" si="44"/>
        <v>59.9</v>
      </c>
      <c r="K66" s="59">
        <f t="shared" si="45"/>
        <v>62.895000000000003</v>
      </c>
      <c r="L66" s="81">
        <f t="shared" si="46"/>
        <v>119.8</v>
      </c>
      <c r="M66" s="59">
        <f t="shared" si="47"/>
        <v>125.79</v>
      </c>
      <c r="N66" s="58"/>
      <c r="O66" s="58"/>
      <c r="P66" s="59">
        <f>L66</f>
        <v>119.8</v>
      </c>
      <c r="Q66" s="59">
        <f t="shared" si="48"/>
        <v>119.8</v>
      </c>
      <c r="R66" s="87">
        <f t="shared" si="48"/>
        <v>119.8</v>
      </c>
      <c r="S66" s="87">
        <f t="shared" si="48"/>
        <v>119.8</v>
      </c>
      <c r="T66" s="87">
        <f t="shared" si="48"/>
        <v>119.8</v>
      </c>
    </row>
    <row r="67" spans="1:20" ht="15.75" thickBot="1" x14ac:dyDescent="0.3">
      <c r="B67" s="12" t="s">
        <v>142</v>
      </c>
      <c r="C67" s="11" t="s">
        <v>115</v>
      </c>
      <c r="D67" s="32"/>
      <c r="E67" s="14">
        <v>15</v>
      </c>
      <c r="F67" s="63" t="s">
        <v>142</v>
      </c>
      <c r="G67" s="59">
        <v>12.17</v>
      </c>
      <c r="H67" s="59">
        <v>24.98</v>
      </c>
      <c r="I67" s="60">
        <f t="shared" si="43"/>
        <v>0.5128102481985588</v>
      </c>
      <c r="J67" s="59">
        <f t="shared" si="44"/>
        <v>12.17</v>
      </c>
      <c r="K67" s="59">
        <f t="shared" si="45"/>
        <v>12.778500000000001</v>
      </c>
      <c r="L67" s="81">
        <f t="shared" si="46"/>
        <v>182.55</v>
      </c>
      <c r="M67" s="59">
        <f t="shared" si="47"/>
        <v>191.67750000000001</v>
      </c>
      <c r="N67" s="58"/>
      <c r="O67" s="58"/>
      <c r="P67" s="59">
        <f>L67</f>
        <v>182.55</v>
      </c>
      <c r="Q67" s="59">
        <f t="shared" si="48"/>
        <v>182.55</v>
      </c>
      <c r="R67" s="87">
        <f t="shared" si="48"/>
        <v>182.55</v>
      </c>
      <c r="S67" s="87">
        <f t="shared" si="48"/>
        <v>182.55</v>
      </c>
      <c r="T67" s="87">
        <f t="shared" si="48"/>
        <v>182.55</v>
      </c>
    </row>
    <row r="68" spans="1:20" ht="15.75" thickBot="1" x14ac:dyDescent="0.3">
      <c r="B68" s="177" t="s">
        <v>51</v>
      </c>
      <c r="C68" s="178"/>
      <c r="D68" s="46"/>
      <c r="J68" s="59"/>
      <c r="K68" s="59"/>
      <c r="N68" s="58"/>
      <c r="O68" s="58"/>
    </row>
    <row r="69" spans="1:20" x14ac:dyDescent="0.25">
      <c r="B69" s="28"/>
      <c r="C69" s="29"/>
      <c r="D69" s="13"/>
      <c r="J69" s="59"/>
      <c r="K69" s="59"/>
      <c r="N69" s="58"/>
      <c r="O69" s="58"/>
    </row>
    <row r="70" spans="1:20" x14ac:dyDescent="0.25">
      <c r="J70" s="59"/>
      <c r="K70" s="59"/>
      <c r="N70" s="58"/>
      <c r="O70" s="58"/>
    </row>
    <row r="71" spans="1:20" x14ac:dyDescent="0.25">
      <c r="A71" s="17" t="s">
        <v>65</v>
      </c>
      <c r="B71" s="1" t="s">
        <v>46</v>
      </c>
      <c r="C71" s="1" t="s">
        <v>47</v>
      </c>
      <c r="D71" s="1" t="s">
        <v>48</v>
      </c>
      <c r="E71" s="1" t="s">
        <v>72</v>
      </c>
      <c r="J71" s="59"/>
      <c r="K71" s="59"/>
      <c r="N71" s="58"/>
      <c r="O71" s="58"/>
    </row>
    <row r="72" spans="1:20" s="70" customFormat="1" x14ac:dyDescent="0.25">
      <c r="A72" s="17">
        <v>60</v>
      </c>
      <c r="B72" s="1"/>
      <c r="C72" s="1" t="s">
        <v>161</v>
      </c>
      <c r="D72" s="1"/>
      <c r="E72" s="1"/>
      <c r="F72" s="68"/>
      <c r="G72" s="69">
        <f>SUM(G73:G82)</f>
        <v>62830.039999999994</v>
      </c>
      <c r="H72" s="69">
        <f>SUM(H73:H82)</f>
        <v>76697.819999999992</v>
      </c>
      <c r="J72" s="69">
        <f>SUM(J73:J82)</f>
        <v>62830.039999999994</v>
      </c>
      <c r="K72" s="69">
        <f>SUM(K73:K82)</f>
        <v>75886.093999999983</v>
      </c>
      <c r="L72" s="69">
        <f t="shared" ref="L72:M72" si="49">SUM(L73:L82)</f>
        <v>64430.99</v>
      </c>
      <c r="M72" s="69">
        <f t="shared" si="49"/>
        <v>77567.091499999995</v>
      </c>
      <c r="N72" s="79">
        <f>-PV($N$2,A72,M72/A72)</f>
        <v>76188.134415970257</v>
      </c>
      <c r="O72" s="79">
        <f>ROUND(N72/A72,0)</f>
        <v>1270</v>
      </c>
      <c r="P72" s="69"/>
      <c r="Q72" s="69"/>
    </row>
    <row r="73" spans="1:20" x14ac:dyDescent="0.25">
      <c r="B73" s="95">
        <v>4745868001</v>
      </c>
      <c r="C73" s="95" t="s">
        <v>54</v>
      </c>
      <c r="D73" s="95"/>
      <c r="E73" s="89">
        <v>1</v>
      </c>
      <c r="F73" s="63">
        <v>4745868001</v>
      </c>
      <c r="G73" s="59">
        <v>18365</v>
      </c>
      <c r="H73" s="59">
        <v>20997.45</v>
      </c>
      <c r="I73" s="60">
        <f t="shared" ref="I73:I77" si="50">(H73-G73)/H73</f>
        <v>0.12536998540298944</v>
      </c>
      <c r="J73" s="59">
        <f t="shared" ref="J73:J77" si="51">G73</f>
        <v>18365</v>
      </c>
      <c r="K73" s="59">
        <f t="shared" ref="K73:K77" si="52">G73*(1+$K$2)</f>
        <v>22221.649999999998</v>
      </c>
      <c r="L73" s="81">
        <f t="shared" ref="L73:L77" si="53">E73*G73</f>
        <v>18365</v>
      </c>
      <c r="M73" s="59">
        <f t="shared" ref="M73:M77" si="54">K73*E73</f>
        <v>22221.649999999998</v>
      </c>
      <c r="N73" s="58"/>
      <c r="O73" s="58"/>
      <c r="P73" s="81">
        <f>G73/$A$72*12</f>
        <v>3673</v>
      </c>
      <c r="Q73" s="59">
        <f t="shared" ref="Q73:T74" si="55">P73</f>
        <v>3673</v>
      </c>
      <c r="R73" s="59">
        <f t="shared" si="55"/>
        <v>3673</v>
      </c>
      <c r="S73" s="59">
        <f t="shared" si="55"/>
        <v>3673</v>
      </c>
      <c r="T73" s="59">
        <f t="shared" si="55"/>
        <v>3673</v>
      </c>
    </row>
    <row r="74" spans="1:20" x14ac:dyDescent="0.25">
      <c r="B74" s="95">
        <v>4745914001</v>
      </c>
      <c r="C74" s="95" t="s">
        <v>55</v>
      </c>
      <c r="D74" s="95"/>
      <c r="E74" s="89">
        <v>1</v>
      </c>
      <c r="F74" s="63">
        <v>4745914001</v>
      </c>
      <c r="G74" s="59">
        <v>41177</v>
      </c>
      <c r="H74" s="59">
        <v>51436.52</v>
      </c>
      <c r="I74" s="60">
        <f t="shared" si="50"/>
        <v>0.19945983904043271</v>
      </c>
      <c r="J74" s="59">
        <f t="shared" si="51"/>
        <v>41177</v>
      </c>
      <c r="K74" s="59">
        <f t="shared" si="52"/>
        <v>49824.17</v>
      </c>
      <c r="L74" s="81">
        <f t="shared" si="53"/>
        <v>41177</v>
      </c>
      <c r="M74" s="59">
        <f t="shared" si="54"/>
        <v>49824.17</v>
      </c>
      <c r="N74" s="58"/>
      <c r="O74" s="58"/>
      <c r="P74" s="81">
        <f>G74/$A$72*12</f>
        <v>8235.4</v>
      </c>
      <c r="Q74" s="59">
        <f t="shared" si="55"/>
        <v>8235.4</v>
      </c>
      <c r="R74" s="59">
        <f t="shared" si="55"/>
        <v>8235.4</v>
      </c>
      <c r="S74" s="59">
        <f t="shared" si="55"/>
        <v>8235.4</v>
      </c>
      <c r="T74" s="59">
        <f t="shared" si="55"/>
        <v>8235.4</v>
      </c>
    </row>
    <row r="75" spans="1:20" x14ac:dyDescent="0.25">
      <c r="B75" s="15">
        <v>4433297001</v>
      </c>
      <c r="C75" s="15" t="s">
        <v>56</v>
      </c>
      <c r="D75" s="15"/>
      <c r="E75" s="20">
        <v>1</v>
      </c>
      <c r="F75" s="63">
        <v>4433297001</v>
      </c>
      <c r="G75" s="59">
        <v>1026</v>
      </c>
      <c r="H75" s="59">
        <v>1448.1</v>
      </c>
      <c r="I75" s="60">
        <f t="shared" si="50"/>
        <v>0.29148539465506523</v>
      </c>
      <c r="J75" s="59">
        <f t="shared" si="51"/>
        <v>1026</v>
      </c>
      <c r="K75" s="59">
        <f t="shared" si="52"/>
        <v>1241.46</v>
      </c>
      <c r="L75" s="81">
        <f t="shared" si="53"/>
        <v>1026</v>
      </c>
      <c r="M75" s="59">
        <f t="shared" si="54"/>
        <v>1241.46</v>
      </c>
      <c r="N75" s="58"/>
      <c r="O75" s="58"/>
      <c r="P75" s="59">
        <f>L75/$A$4*12</f>
        <v>342</v>
      </c>
      <c r="Q75" s="59">
        <f t="shared" ref="Q75:R77" si="56">P75</f>
        <v>342</v>
      </c>
      <c r="R75" s="65">
        <f t="shared" si="56"/>
        <v>342</v>
      </c>
      <c r="S75" s="59">
        <v>0</v>
      </c>
      <c r="T75" s="59">
        <v>0</v>
      </c>
    </row>
    <row r="76" spans="1:20" x14ac:dyDescent="0.25">
      <c r="B76" s="57" t="s">
        <v>149</v>
      </c>
      <c r="C76" s="14" t="s">
        <v>75</v>
      </c>
      <c r="D76" s="14"/>
      <c r="E76" s="19">
        <v>1</v>
      </c>
      <c r="F76" s="63" t="s">
        <v>149</v>
      </c>
      <c r="G76" s="59">
        <v>1250</v>
      </c>
      <c r="H76" s="59">
        <v>866</v>
      </c>
      <c r="I76" s="60">
        <f t="shared" si="50"/>
        <v>-0.44341801385681295</v>
      </c>
      <c r="J76" s="59">
        <f t="shared" si="51"/>
        <v>1250</v>
      </c>
      <c r="K76" s="59">
        <f t="shared" si="52"/>
        <v>1512.5</v>
      </c>
      <c r="L76" s="81">
        <f t="shared" si="53"/>
        <v>1250</v>
      </c>
      <c r="M76" s="59">
        <f t="shared" si="54"/>
        <v>1512.5</v>
      </c>
      <c r="N76" s="58"/>
      <c r="O76" s="58"/>
      <c r="P76" s="59">
        <f>L76/$A$4*12</f>
        <v>416.66666666666663</v>
      </c>
      <c r="Q76" s="59">
        <f t="shared" si="56"/>
        <v>416.66666666666663</v>
      </c>
      <c r="R76" s="65">
        <f t="shared" si="56"/>
        <v>416.66666666666663</v>
      </c>
      <c r="S76" s="59">
        <v>0</v>
      </c>
      <c r="T76" s="59">
        <v>0</v>
      </c>
    </row>
    <row r="77" spans="1:20" x14ac:dyDescent="0.25">
      <c r="B77" s="14">
        <v>5551471001</v>
      </c>
      <c r="C77" s="14" t="s">
        <v>74</v>
      </c>
      <c r="D77" s="4"/>
      <c r="E77" s="19">
        <v>1</v>
      </c>
      <c r="F77" s="63">
        <v>5551471001</v>
      </c>
      <c r="G77" s="59">
        <v>147.94999999999999</v>
      </c>
      <c r="H77" s="59">
        <v>202.73</v>
      </c>
      <c r="I77" s="60">
        <f t="shared" si="50"/>
        <v>0.27021161150298428</v>
      </c>
      <c r="J77" s="59">
        <f t="shared" si="51"/>
        <v>147.94999999999999</v>
      </c>
      <c r="K77" s="59">
        <f t="shared" si="52"/>
        <v>179.01949999999999</v>
      </c>
      <c r="L77" s="81">
        <f t="shared" si="53"/>
        <v>147.94999999999999</v>
      </c>
      <c r="M77" s="59">
        <f t="shared" si="54"/>
        <v>179.01949999999999</v>
      </c>
      <c r="N77" s="58"/>
      <c r="O77" s="58"/>
      <c r="P77" s="59">
        <f>L77/$A$4*12</f>
        <v>49.316666666666663</v>
      </c>
      <c r="Q77" s="59">
        <f t="shared" si="56"/>
        <v>49.316666666666663</v>
      </c>
      <c r="R77" s="65">
        <f t="shared" si="56"/>
        <v>49.316666666666663</v>
      </c>
      <c r="S77" s="59">
        <v>0</v>
      </c>
      <c r="T77" s="59">
        <v>0</v>
      </c>
    </row>
    <row r="78" spans="1:20" x14ac:dyDescent="0.25">
      <c r="B78" s="42"/>
      <c r="C78" s="51" t="s">
        <v>97</v>
      </c>
      <c r="D78" s="42"/>
      <c r="E78" s="44"/>
      <c r="J78" s="59"/>
      <c r="K78" s="59"/>
      <c r="N78" s="58"/>
      <c r="O78" s="58"/>
    </row>
    <row r="79" spans="1:20" x14ac:dyDescent="0.25">
      <c r="B79" s="14" t="s">
        <v>119</v>
      </c>
      <c r="C79" s="14" t="s">
        <v>116</v>
      </c>
      <c r="D79" s="14"/>
      <c r="E79" s="19">
        <v>8</v>
      </c>
      <c r="F79" s="63" t="s">
        <v>119</v>
      </c>
      <c r="G79" s="59">
        <v>156.5</v>
      </c>
      <c r="H79" s="59">
        <v>331</v>
      </c>
      <c r="I79" s="60">
        <f t="shared" ref="I79:I82" si="57">(H79-G79)/H79</f>
        <v>0.52719033232628398</v>
      </c>
      <c r="J79" s="59">
        <f t="shared" ref="J79:J82" si="58">G79</f>
        <v>156.5</v>
      </c>
      <c r="K79" s="59">
        <f t="shared" ref="K79:K82" si="59">G79*1.05</f>
        <v>164.32500000000002</v>
      </c>
      <c r="L79" s="81">
        <f t="shared" ref="L79:L82" si="60">E79*G79</f>
        <v>1252</v>
      </c>
      <c r="M79" s="59">
        <f t="shared" ref="M79:M82" si="61">K79*E79</f>
        <v>1314.6000000000001</v>
      </c>
      <c r="N79" s="58"/>
      <c r="O79" s="58"/>
      <c r="P79" s="59">
        <f t="shared" ref="P79:P82" si="62">L79</f>
        <v>1252</v>
      </c>
      <c r="Q79" s="59">
        <f t="shared" ref="Q79:T82" si="63">P79</f>
        <v>1252</v>
      </c>
      <c r="R79" s="87">
        <f t="shared" si="63"/>
        <v>1252</v>
      </c>
      <c r="S79" s="87">
        <f t="shared" si="63"/>
        <v>1252</v>
      </c>
      <c r="T79" s="87">
        <f t="shared" si="63"/>
        <v>1252</v>
      </c>
    </row>
    <row r="80" spans="1:20" x14ac:dyDescent="0.25">
      <c r="B80" s="14" t="s">
        <v>120</v>
      </c>
      <c r="C80" s="40" t="s">
        <v>117</v>
      </c>
      <c r="D80" s="14"/>
      <c r="E80" s="19">
        <v>1</v>
      </c>
      <c r="F80" s="63" t="s">
        <v>120</v>
      </c>
      <c r="G80" s="59">
        <v>542.9</v>
      </c>
      <c r="H80" s="59">
        <v>1086</v>
      </c>
      <c r="I80" s="60">
        <f t="shared" si="57"/>
        <v>0.50009208103130753</v>
      </c>
      <c r="J80" s="59">
        <f t="shared" si="58"/>
        <v>542.9</v>
      </c>
      <c r="K80" s="59">
        <f t="shared" si="59"/>
        <v>570.04499999999996</v>
      </c>
      <c r="L80" s="81">
        <f t="shared" si="60"/>
        <v>542.9</v>
      </c>
      <c r="M80" s="59">
        <f t="shared" si="61"/>
        <v>570.04499999999996</v>
      </c>
      <c r="N80" s="58"/>
      <c r="O80" s="58"/>
      <c r="P80" s="59">
        <f t="shared" si="62"/>
        <v>542.9</v>
      </c>
      <c r="Q80" s="59">
        <f t="shared" si="63"/>
        <v>542.9</v>
      </c>
      <c r="R80" s="87">
        <f t="shared" si="63"/>
        <v>542.9</v>
      </c>
      <c r="S80" s="87">
        <f t="shared" si="63"/>
        <v>542.9</v>
      </c>
      <c r="T80" s="87">
        <f t="shared" si="63"/>
        <v>542.9</v>
      </c>
    </row>
    <row r="81" spans="1:20" x14ac:dyDescent="0.25">
      <c r="B81" s="15" t="s">
        <v>121</v>
      </c>
      <c r="C81" s="15" t="s">
        <v>118</v>
      </c>
      <c r="D81" s="40"/>
      <c r="E81" s="20">
        <v>2</v>
      </c>
      <c r="F81" s="63" t="s">
        <v>121</v>
      </c>
      <c r="G81" s="59">
        <v>152.52000000000001</v>
      </c>
      <c r="H81" s="59">
        <v>305.04000000000002</v>
      </c>
      <c r="I81" s="60">
        <f t="shared" si="57"/>
        <v>0.5</v>
      </c>
      <c r="J81" s="59">
        <f t="shared" si="58"/>
        <v>152.52000000000001</v>
      </c>
      <c r="K81" s="59">
        <f t="shared" si="59"/>
        <v>160.14600000000002</v>
      </c>
      <c r="L81" s="81">
        <f t="shared" si="60"/>
        <v>305.04000000000002</v>
      </c>
      <c r="M81" s="59">
        <f t="shared" si="61"/>
        <v>320.29200000000003</v>
      </c>
      <c r="N81" s="58"/>
      <c r="O81" s="58"/>
      <c r="P81" s="59">
        <f t="shared" si="62"/>
        <v>305.04000000000002</v>
      </c>
      <c r="Q81" s="59">
        <f t="shared" si="63"/>
        <v>305.04000000000002</v>
      </c>
      <c r="R81" s="87">
        <f t="shared" si="63"/>
        <v>305.04000000000002</v>
      </c>
      <c r="S81" s="87">
        <f t="shared" si="63"/>
        <v>305.04000000000002</v>
      </c>
      <c r="T81" s="87">
        <f t="shared" si="63"/>
        <v>305.04000000000002</v>
      </c>
    </row>
    <row r="82" spans="1:20" ht="15.75" thickBot="1" x14ac:dyDescent="0.3">
      <c r="B82" s="12" t="s">
        <v>142</v>
      </c>
      <c r="C82" s="11" t="s">
        <v>115</v>
      </c>
      <c r="D82" s="41"/>
      <c r="E82" s="52">
        <v>30</v>
      </c>
      <c r="F82" s="63" t="s">
        <v>142</v>
      </c>
      <c r="G82" s="59">
        <v>12.17</v>
      </c>
      <c r="H82" s="59">
        <v>24.98</v>
      </c>
      <c r="I82" s="60">
        <f t="shared" si="57"/>
        <v>0.5128102481985588</v>
      </c>
      <c r="J82" s="59">
        <f t="shared" si="58"/>
        <v>12.17</v>
      </c>
      <c r="K82" s="59">
        <f t="shared" si="59"/>
        <v>12.778500000000001</v>
      </c>
      <c r="L82" s="81">
        <f t="shared" si="60"/>
        <v>365.1</v>
      </c>
      <c r="M82" s="59">
        <f t="shared" si="61"/>
        <v>383.35500000000002</v>
      </c>
      <c r="N82" s="58"/>
      <c r="O82" s="58"/>
      <c r="P82" s="59">
        <f t="shared" si="62"/>
        <v>365.1</v>
      </c>
      <c r="Q82" s="59">
        <f t="shared" si="63"/>
        <v>365.1</v>
      </c>
      <c r="R82" s="87">
        <f t="shared" si="63"/>
        <v>365.1</v>
      </c>
      <c r="S82" s="87">
        <f t="shared" si="63"/>
        <v>365.1</v>
      </c>
      <c r="T82" s="87">
        <f t="shared" si="63"/>
        <v>365.1</v>
      </c>
    </row>
    <row r="83" spans="1:20" ht="15.75" thickBot="1" x14ac:dyDescent="0.3">
      <c r="B83" s="177" t="s">
        <v>51</v>
      </c>
      <c r="C83" s="178"/>
      <c r="D83" s="18"/>
      <c r="E83" s="48"/>
      <c r="J83" s="59"/>
      <c r="K83" s="59"/>
      <c r="N83" s="58"/>
      <c r="O83" s="58"/>
    </row>
    <row r="84" spans="1:20" x14ac:dyDescent="0.25">
      <c r="J84" s="59"/>
      <c r="K84" s="59"/>
      <c r="N84" s="58"/>
      <c r="O84" s="58"/>
    </row>
    <row r="85" spans="1:20" x14ac:dyDescent="0.25">
      <c r="J85" s="59"/>
      <c r="K85" s="59"/>
      <c r="N85" s="58"/>
      <c r="O85" s="58"/>
    </row>
    <row r="86" spans="1:20" x14ac:dyDescent="0.25">
      <c r="A86" s="17" t="s">
        <v>67</v>
      </c>
      <c r="B86" s="1" t="s">
        <v>46</v>
      </c>
      <c r="C86" s="1" t="s">
        <v>47</v>
      </c>
      <c r="D86" s="1" t="s">
        <v>48</v>
      </c>
      <c r="E86" s="1" t="s">
        <v>72</v>
      </c>
      <c r="J86" s="59"/>
      <c r="K86" s="59"/>
      <c r="N86" s="58"/>
      <c r="O86" s="58"/>
    </row>
    <row r="87" spans="1:20" s="70" customFormat="1" x14ac:dyDescent="0.25">
      <c r="A87" s="17">
        <v>36</v>
      </c>
      <c r="B87" s="67"/>
      <c r="C87" s="1" t="s">
        <v>161</v>
      </c>
      <c r="D87" s="1"/>
      <c r="E87" s="1"/>
      <c r="F87" s="68"/>
      <c r="G87" s="69">
        <f>SUM(G88:G108)</f>
        <v>44283.119999999995</v>
      </c>
      <c r="H87" s="69">
        <f>SUM(H88:H108)</f>
        <v>59254.464218750014</v>
      </c>
      <c r="J87" s="69">
        <f>SUM(J88:J108)</f>
        <v>44283.119999999995</v>
      </c>
      <c r="K87" s="69">
        <f>SUM(K88:K108)</f>
        <v>53582.575200000007</v>
      </c>
      <c r="L87" s="69">
        <f t="shared" ref="L87:M87" si="64">SUM(L88:L108)</f>
        <v>44634.79</v>
      </c>
      <c r="M87" s="69">
        <f t="shared" si="64"/>
        <v>54008.095900000008</v>
      </c>
      <c r="N87" s="79">
        <f>-PV($N$2,A87,M87/A87)</f>
        <v>53422.977827445975</v>
      </c>
      <c r="O87" s="79">
        <f>ROUND(N87/A87,0)</f>
        <v>1484</v>
      </c>
      <c r="P87" s="69"/>
      <c r="Q87" s="69"/>
    </row>
    <row r="88" spans="1:20" x14ac:dyDescent="0.25">
      <c r="A88" s="17"/>
      <c r="B88" s="100">
        <v>6390498001</v>
      </c>
      <c r="C88" s="100" t="s">
        <v>76</v>
      </c>
      <c r="D88" s="101"/>
      <c r="E88" s="102">
        <v>1</v>
      </c>
      <c r="F88" s="63">
        <v>6390498001</v>
      </c>
      <c r="G88" s="59">
        <v>12639</v>
      </c>
      <c r="H88" s="59">
        <v>16687.429687500004</v>
      </c>
      <c r="I88" s="60">
        <f t="shared" ref="I88:I99" si="65">(H88-G88)/H88</f>
        <v>0.24260355029585814</v>
      </c>
      <c r="J88" s="59">
        <f t="shared" ref="J88:J99" si="66">G88</f>
        <v>12639</v>
      </c>
      <c r="K88" s="59">
        <f t="shared" ref="K88:K100" si="67">G88*(1+$K$2)</f>
        <v>15293.189999999999</v>
      </c>
      <c r="L88" s="81">
        <f t="shared" ref="L88:L100" si="68">E88*G88</f>
        <v>12639</v>
      </c>
      <c r="M88" s="59">
        <f t="shared" ref="M88:M100" si="69">K88*E88</f>
        <v>15293.189999999999</v>
      </c>
      <c r="N88" s="58"/>
      <c r="O88" s="58"/>
      <c r="P88" s="81">
        <f>G88/$A$87*12</f>
        <v>4213</v>
      </c>
      <c r="Q88" s="59">
        <f t="shared" ref="Q88:T88" si="70">P88</f>
        <v>4213</v>
      </c>
      <c r="R88" s="59">
        <f t="shared" si="70"/>
        <v>4213</v>
      </c>
      <c r="S88" s="59">
        <f t="shared" si="70"/>
        <v>4213</v>
      </c>
      <c r="T88" s="59">
        <f t="shared" si="70"/>
        <v>4213</v>
      </c>
    </row>
    <row r="89" spans="1:20" x14ac:dyDescent="0.25">
      <c r="A89" s="17"/>
      <c r="B89" s="19">
        <v>6390510001</v>
      </c>
      <c r="C89" s="19" t="s">
        <v>77</v>
      </c>
      <c r="D89" s="23"/>
      <c r="E89" s="27">
        <v>1</v>
      </c>
      <c r="F89" s="63">
        <v>6390510001</v>
      </c>
      <c r="G89" s="59">
        <v>1485</v>
      </c>
      <c r="H89" s="59">
        <v>1960.6640625000002</v>
      </c>
      <c r="I89" s="60">
        <f t="shared" si="65"/>
        <v>0.24260355029585809</v>
      </c>
      <c r="J89" s="59">
        <f t="shared" si="66"/>
        <v>1485</v>
      </c>
      <c r="K89" s="59">
        <f t="shared" si="67"/>
        <v>1796.85</v>
      </c>
      <c r="L89" s="81">
        <f t="shared" si="68"/>
        <v>1485</v>
      </c>
      <c r="M89" s="59">
        <f t="shared" si="69"/>
        <v>1796.85</v>
      </c>
      <c r="N89" s="58"/>
      <c r="O89" s="58"/>
      <c r="P89" s="59">
        <f t="shared" ref="P89:P95" si="71">L89/$A$4*12</f>
        <v>495</v>
      </c>
      <c r="Q89" s="59">
        <f t="shared" ref="Q89:R89" si="72">P89</f>
        <v>495</v>
      </c>
      <c r="R89" s="65">
        <f t="shared" si="72"/>
        <v>495</v>
      </c>
      <c r="S89" s="59">
        <v>0</v>
      </c>
      <c r="T89" s="59">
        <v>0</v>
      </c>
    </row>
    <row r="90" spans="1:20" x14ac:dyDescent="0.25">
      <c r="A90" s="17"/>
      <c r="B90" s="19">
        <v>6390544001</v>
      </c>
      <c r="C90" s="19" t="s">
        <v>78</v>
      </c>
      <c r="D90" s="23"/>
      <c r="E90" s="27">
        <v>1</v>
      </c>
      <c r="F90" s="63">
        <v>6390544001</v>
      </c>
      <c r="G90" s="59">
        <v>14.3</v>
      </c>
      <c r="H90" s="59">
        <v>18.880468750000006</v>
      </c>
      <c r="I90" s="60">
        <f t="shared" si="65"/>
        <v>0.24260355029585817</v>
      </c>
      <c r="J90" s="59">
        <f t="shared" si="66"/>
        <v>14.3</v>
      </c>
      <c r="K90" s="59">
        <f t="shared" si="67"/>
        <v>17.303000000000001</v>
      </c>
      <c r="L90" s="81">
        <f t="shared" si="68"/>
        <v>14.3</v>
      </c>
      <c r="M90" s="59">
        <f t="shared" si="69"/>
        <v>17.303000000000001</v>
      </c>
      <c r="N90" s="58"/>
      <c r="O90" s="58"/>
      <c r="P90" s="59">
        <f t="shared" si="71"/>
        <v>4.7666666666666675</v>
      </c>
      <c r="Q90" s="59">
        <f t="shared" ref="Q90:R90" si="73">P90</f>
        <v>4.7666666666666675</v>
      </c>
      <c r="R90" s="65">
        <f t="shared" si="73"/>
        <v>4.7666666666666675</v>
      </c>
      <c r="S90" s="59">
        <v>0</v>
      </c>
      <c r="T90" s="59">
        <v>0</v>
      </c>
    </row>
    <row r="91" spans="1:20" x14ac:dyDescent="0.25">
      <c r="A91" s="17"/>
      <c r="B91" s="24">
        <v>6390579001</v>
      </c>
      <c r="C91" s="24" t="s">
        <v>79</v>
      </c>
      <c r="D91" s="23"/>
      <c r="E91" s="27">
        <v>1</v>
      </c>
      <c r="F91" s="63">
        <v>6390579001</v>
      </c>
      <c r="G91" s="59">
        <v>15.36</v>
      </c>
      <c r="H91" s="59">
        <v>20.28</v>
      </c>
      <c r="I91" s="60">
        <f t="shared" si="65"/>
        <v>0.24260355029585806</v>
      </c>
      <c r="J91" s="59">
        <f t="shared" si="66"/>
        <v>15.36</v>
      </c>
      <c r="K91" s="59">
        <f t="shared" si="67"/>
        <v>18.585599999999999</v>
      </c>
      <c r="L91" s="81">
        <f t="shared" si="68"/>
        <v>15.36</v>
      </c>
      <c r="M91" s="59">
        <f t="shared" si="69"/>
        <v>18.585599999999999</v>
      </c>
      <c r="N91" s="58"/>
      <c r="O91" s="58"/>
      <c r="P91" s="59">
        <f t="shared" si="71"/>
        <v>5.1199999999999992</v>
      </c>
      <c r="Q91" s="59">
        <f t="shared" ref="Q91:R91" si="74">P91</f>
        <v>5.1199999999999992</v>
      </c>
      <c r="R91" s="65">
        <f t="shared" si="74"/>
        <v>5.1199999999999992</v>
      </c>
      <c r="S91" s="59">
        <v>0</v>
      </c>
      <c r="T91" s="59">
        <v>0</v>
      </c>
    </row>
    <row r="92" spans="1:20" x14ac:dyDescent="0.25">
      <c r="A92" s="17"/>
      <c r="B92" s="19">
        <v>5099986001</v>
      </c>
      <c r="C92" s="19" t="s">
        <v>80</v>
      </c>
      <c r="D92" s="23"/>
      <c r="E92" s="27">
        <v>2</v>
      </c>
      <c r="F92" s="63">
        <v>5099986001</v>
      </c>
      <c r="G92" s="59">
        <v>102.64</v>
      </c>
      <c r="H92" s="59">
        <v>135.51687500000003</v>
      </c>
      <c r="I92" s="60">
        <f t="shared" si="65"/>
        <v>0.24260355029585814</v>
      </c>
      <c r="J92" s="59">
        <f t="shared" si="66"/>
        <v>102.64</v>
      </c>
      <c r="K92" s="59">
        <f t="shared" si="67"/>
        <v>124.1944</v>
      </c>
      <c r="L92" s="81">
        <f t="shared" si="68"/>
        <v>205.28</v>
      </c>
      <c r="M92" s="59">
        <f t="shared" si="69"/>
        <v>248.3888</v>
      </c>
      <c r="N92" s="58"/>
      <c r="O92" s="58"/>
      <c r="P92" s="59">
        <f t="shared" si="71"/>
        <v>68.426666666666662</v>
      </c>
      <c r="Q92" s="59">
        <f t="shared" ref="Q92:R92" si="75">P92</f>
        <v>68.426666666666662</v>
      </c>
      <c r="R92" s="65">
        <f t="shared" si="75"/>
        <v>68.426666666666662</v>
      </c>
      <c r="S92" s="59">
        <v>0</v>
      </c>
      <c r="T92" s="59">
        <v>0</v>
      </c>
    </row>
    <row r="93" spans="1:20" x14ac:dyDescent="0.25">
      <c r="A93" s="17"/>
      <c r="B93" s="19">
        <v>11902997001</v>
      </c>
      <c r="C93" s="19" t="s">
        <v>81</v>
      </c>
      <c r="D93" s="23"/>
      <c r="E93" s="27">
        <v>1</v>
      </c>
      <c r="F93" s="63">
        <v>11902997001</v>
      </c>
      <c r="G93" s="59">
        <v>415.03</v>
      </c>
      <c r="H93" s="59">
        <v>1013.67</v>
      </c>
      <c r="I93" s="60">
        <f t="shared" si="65"/>
        <v>0.59056694979628477</v>
      </c>
      <c r="J93" s="59">
        <f t="shared" si="66"/>
        <v>415.03</v>
      </c>
      <c r="K93" s="59">
        <f t="shared" si="67"/>
        <v>502.18629999999996</v>
      </c>
      <c r="L93" s="81">
        <f t="shared" si="68"/>
        <v>415.03</v>
      </c>
      <c r="M93" s="59">
        <f t="shared" si="69"/>
        <v>502.18629999999996</v>
      </c>
      <c r="N93" s="58"/>
      <c r="O93" s="58"/>
      <c r="P93" s="59">
        <f t="shared" si="71"/>
        <v>138.34333333333333</v>
      </c>
      <c r="Q93" s="59">
        <f t="shared" ref="Q93:R93" si="76">P93</f>
        <v>138.34333333333333</v>
      </c>
      <c r="R93" s="65">
        <f t="shared" si="76"/>
        <v>138.34333333333333</v>
      </c>
      <c r="S93" s="59">
        <v>0</v>
      </c>
      <c r="T93" s="59">
        <v>0</v>
      </c>
    </row>
    <row r="94" spans="1:20" x14ac:dyDescent="0.25">
      <c r="A94" s="17"/>
      <c r="B94" s="19">
        <v>12025728001</v>
      </c>
      <c r="C94" s="19" t="s">
        <v>82</v>
      </c>
      <c r="D94" s="23"/>
      <c r="E94" s="27">
        <v>1</v>
      </c>
      <c r="F94" s="63">
        <v>12025728001</v>
      </c>
      <c r="G94" s="59">
        <v>27.94</v>
      </c>
      <c r="H94" s="59">
        <v>57.92</v>
      </c>
      <c r="I94" s="60">
        <f t="shared" si="65"/>
        <v>0.51761049723756902</v>
      </c>
      <c r="J94" s="59">
        <f t="shared" si="66"/>
        <v>27.94</v>
      </c>
      <c r="K94" s="59">
        <f t="shared" si="67"/>
        <v>33.807400000000001</v>
      </c>
      <c r="L94" s="81">
        <f t="shared" si="68"/>
        <v>27.94</v>
      </c>
      <c r="M94" s="59">
        <f t="shared" si="69"/>
        <v>33.807400000000001</v>
      </c>
      <c r="N94" s="58"/>
      <c r="O94" s="58"/>
      <c r="P94" s="59">
        <f t="shared" si="71"/>
        <v>9.3133333333333344</v>
      </c>
      <c r="Q94" s="59">
        <f t="shared" ref="Q94:R94" si="77">P94</f>
        <v>9.3133333333333344</v>
      </c>
      <c r="R94" s="65">
        <f t="shared" si="77"/>
        <v>9.3133333333333344</v>
      </c>
      <c r="S94" s="59">
        <v>0</v>
      </c>
      <c r="T94" s="59">
        <v>0</v>
      </c>
    </row>
    <row r="95" spans="1:20" x14ac:dyDescent="0.25">
      <c r="A95" s="17"/>
      <c r="B95" s="19">
        <v>12025574001</v>
      </c>
      <c r="C95" s="19" t="s">
        <v>83</v>
      </c>
      <c r="D95" s="23"/>
      <c r="E95" s="27">
        <v>1</v>
      </c>
      <c r="F95" s="63">
        <v>12025574001</v>
      </c>
      <c r="G95" s="59">
        <v>139.29</v>
      </c>
      <c r="H95" s="59">
        <v>217.22</v>
      </c>
      <c r="I95" s="60">
        <f t="shared" si="65"/>
        <v>0.35876070343430627</v>
      </c>
      <c r="J95" s="59">
        <f t="shared" si="66"/>
        <v>139.29</v>
      </c>
      <c r="K95" s="59">
        <f t="shared" si="67"/>
        <v>168.54089999999999</v>
      </c>
      <c r="L95" s="81">
        <f t="shared" si="68"/>
        <v>139.29</v>
      </c>
      <c r="M95" s="59">
        <f t="shared" si="69"/>
        <v>168.54089999999999</v>
      </c>
      <c r="N95" s="58"/>
      <c r="O95" s="58"/>
      <c r="P95" s="59">
        <f t="shared" si="71"/>
        <v>46.43</v>
      </c>
      <c r="Q95" s="59">
        <f t="shared" ref="Q95:R95" si="78">P95</f>
        <v>46.43</v>
      </c>
      <c r="R95" s="65">
        <f t="shared" si="78"/>
        <v>46.43</v>
      </c>
      <c r="S95" s="59">
        <v>0</v>
      </c>
      <c r="T95" s="59">
        <v>0</v>
      </c>
    </row>
    <row r="96" spans="1:20" x14ac:dyDescent="0.25">
      <c r="B96" s="98">
        <v>6390501001</v>
      </c>
      <c r="C96" s="99" t="s">
        <v>84</v>
      </c>
      <c r="D96" s="95"/>
      <c r="E96" s="89">
        <v>1</v>
      </c>
      <c r="F96" s="63">
        <v>6390501001</v>
      </c>
      <c r="G96" s="59">
        <v>27594</v>
      </c>
      <c r="H96" s="59">
        <v>36432.703125000007</v>
      </c>
      <c r="I96" s="60">
        <f t="shared" si="65"/>
        <v>0.24260355029585814</v>
      </c>
      <c r="J96" s="59">
        <f t="shared" si="66"/>
        <v>27594</v>
      </c>
      <c r="K96" s="59">
        <f t="shared" si="67"/>
        <v>33388.74</v>
      </c>
      <c r="L96" s="81">
        <f t="shared" si="68"/>
        <v>27594</v>
      </c>
      <c r="M96" s="59">
        <f t="shared" si="69"/>
        <v>33388.74</v>
      </c>
      <c r="N96" s="58"/>
      <c r="O96" s="58"/>
      <c r="P96" s="81">
        <f>G96/$A$87*12</f>
        <v>9198</v>
      </c>
      <c r="Q96" s="59">
        <f t="shared" ref="Q96:T96" si="79">P96</f>
        <v>9198</v>
      </c>
      <c r="R96" s="59">
        <f t="shared" si="79"/>
        <v>9198</v>
      </c>
      <c r="S96" s="59">
        <f t="shared" si="79"/>
        <v>9198</v>
      </c>
      <c r="T96" s="59">
        <f t="shared" si="79"/>
        <v>9198</v>
      </c>
    </row>
    <row r="97" spans="1:20" x14ac:dyDescent="0.25">
      <c r="B97" s="26">
        <v>7127162001</v>
      </c>
      <c r="C97" s="25" t="s">
        <v>85</v>
      </c>
      <c r="D97" s="14"/>
      <c r="E97" s="19">
        <v>1</v>
      </c>
      <c r="F97" s="63">
        <v>7127162001</v>
      </c>
      <c r="G97" s="59">
        <v>76.67</v>
      </c>
      <c r="H97" s="59">
        <v>101.22835937500003</v>
      </c>
      <c r="I97" s="60">
        <f t="shared" si="65"/>
        <v>0.24260355029585814</v>
      </c>
      <c r="J97" s="59">
        <f t="shared" si="66"/>
        <v>76.67</v>
      </c>
      <c r="K97" s="59">
        <f t="shared" si="67"/>
        <v>92.770700000000005</v>
      </c>
      <c r="L97" s="81">
        <f t="shared" si="68"/>
        <v>76.67</v>
      </c>
      <c r="M97" s="59">
        <f t="shared" si="69"/>
        <v>92.770700000000005</v>
      </c>
      <c r="N97" s="58"/>
      <c r="O97" s="58"/>
      <c r="P97" s="59">
        <f t="shared" ref="P97:P100" si="80">L97/$A$4*12</f>
        <v>25.556666666666665</v>
      </c>
      <c r="Q97" s="59">
        <f t="shared" ref="Q97:R97" si="81">P97</f>
        <v>25.556666666666665</v>
      </c>
      <c r="R97" s="65">
        <f t="shared" si="81"/>
        <v>25.556666666666665</v>
      </c>
      <c r="S97" s="59">
        <v>0</v>
      </c>
      <c r="T97" s="59">
        <v>0</v>
      </c>
    </row>
    <row r="98" spans="1:20" x14ac:dyDescent="0.25">
      <c r="B98" s="26">
        <v>7127189001</v>
      </c>
      <c r="C98" s="25" t="s">
        <v>86</v>
      </c>
      <c r="D98" s="15"/>
      <c r="E98" s="20">
        <v>1</v>
      </c>
      <c r="F98" s="63">
        <v>7127189001</v>
      </c>
      <c r="G98" s="59">
        <v>106.37</v>
      </c>
      <c r="H98" s="59">
        <v>140.44164062500002</v>
      </c>
      <c r="I98" s="60">
        <f t="shared" si="65"/>
        <v>0.24260355029585806</v>
      </c>
      <c r="J98" s="59">
        <f t="shared" si="66"/>
        <v>106.37</v>
      </c>
      <c r="K98" s="59">
        <f t="shared" si="67"/>
        <v>128.70769999999999</v>
      </c>
      <c r="L98" s="81">
        <f t="shared" si="68"/>
        <v>106.37</v>
      </c>
      <c r="M98" s="59">
        <f t="shared" si="69"/>
        <v>128.70769999999999</v>
      </c>
      <c r="N98" s="58"/>
      <c r="O98" s="58"/>
      <c r="P98" s="59">
        <f t="shared" si="80"/>
        <v>35.456666666666663</v>
      </c>
      <c r="Q98" s="59">
        <f t="shared" ref="Q98:R98" si="82">P98</f>
        <v>35.456666666666663</v>
      </c>
      <c r="R98" s="65">
        <f t="shared" si="82"/>
        <v>35.456666666666663</v>
      </c>
      <c r="S98" s="59">
        <v>0</v>
      </c>
      <c r="T98" s="59">
        <v>0</v>
      </c>
    </row>
    <row r="99" spans="1:20" x14ac:dyDescent="0.25">
      <c r="B99" s="14" t="s">
        <v>149</v>
      </c>
      <c r="C99" s="14" t="s">
        <v>87</v>
      </c>
      <c r="D99" s="14"/>
      <c r="E99" s="19">
        <v>1</v>
      </c>
      <c r="F99" s="63">
        <v>7418183001</v>
      </c>
      <c r="G99" s="59">
        <v>820</v>
      </c>
      <c r="H99" s="59">
        <v>866</v>
      </c>
      <c r="I99" s="60">
        <f t="shared" si="65"/>
        <v>5.3117782909930716E-2</v>
      </c>
      <c r="J99" s="59">
        <f t="shared" si="66"/>
        <v>820</v>
      </c>
      <c r="K99" s="59">
        <f t="shared" si="67"/>
        <v>992.19999999999993</v>
      </c>
      <c r="L99" s="81">
        <f t="shared" si="68"/>
        <v>820</v>
      </c>
      <c r="M99" s="59">
        <f t="shared" si="69"/>
        <v>992.19999999999993</v>
      </c>
      <c r="N99" s="58"/>
      <c r="O99" s="58"/>
      <c r="P99" s="59">
        <f t="shared" si="80"/>
        <v>273.33333333333337</v>
      </c>
      <c r="Q99" s="59">
        <f t="shared" ref="Q99:R99" si="83">P99</f>
        <v>273.33333333333337</v>
      </c>
      <c r="R99" s="65">
        <f t="shared" si="83"/>
        <v>273.33333333333337</v>
      </c>
      <c r="S99" s="59">
        <v>0</v>
      </c>
      <c r="T99" s="59">
        <v>0</v>
      </c>
    </row>
    <row r="100" spans="1:20" x14ac:dyDescent="0.25">
      <c r="B100" s="14">
        <v>5551471001</v>
      </c>
      <c r="C100" s="14" t="s">
        <v>74</v>
      </c>
      <c r="D100" s="14"/>
      <c r="E100" s="19">
        <v>1</v>
      </c>
      <c r="F100" s="63">
        <v>5551471001</v>
      </c>
      <c r="G100" s="59">
        <v>147.94999999999999</v>
      </c>
      <c r="H100" s="59">
        <v>202.73</v>
      </c>
      <c r="I100" s="60">
        <f>(H100-G100)/H100</f>
        <v>0.27021161150298428</v>
      </c>
      <c r="J100" s="59">
        <f>G100</f>
        <v>147.94999999999999</v>
      </c>
      <c r="K100" s="59">
        <f t="shared" si="67"/>
        <v>179.01949999999999</v>
      </c>
      <c r="L100" s="81">
        <f t="shared" si="68"/>
        <v>147.94999999999999</v>
      </c>
      <c r="M100" s="59">
        <f t="shared" si="69"/>
        <v>179.01949999999999</v>
      </c>
      <c r="N100" s="58"/>
      <c r="O100" s="58"/>
      <c r="P100" s="59">
        <f t="shared" si="80"/>
        <v>49.316666666666663</v>
      </c>
      <c r="Q100" s="59">
        <f t="shared" ref="Q100:R100" si="84">P100</f>
        <v>49.316666666666663</v>
      </c>
      <c r="R100" s="65">
        <f t="shared" si="84"/>
        <v>49.316666666666663</v>
      </c>
      <c r="S100" s="59">
        <v>0</v>
      </c>
      <c r="T100" s="59">
        <v>0</v>
      </c>
    </row>
    <row r="101" spans="1:20" x14ac:dyDescent="0.25">
      <c r="B101" s="43" t="s">
        <v>46</v>
      </c>
      <c r="C101" s="51" t="s">
        <v>47</v>
      </c>
      <c r="D101" s="51"/>
      <c r="E101" s="53"/>
      <c r="J101" s="59"/>
      <c r="K101" s="59"/>
      <c r="N101" s="58"/>
      <c r="O101" s="58"/>
    </row>
    <row r="102" spans="1:20" x14ac:dyDescent="0.25">
      <c r="B102" s="14">
        <v>6274269001</v>
      </c>
      <c r="C102" s="14" t="s">
        <v>125</v>
      </c>
      <c r="D102" s="14"/>
      <c r="E102" s="19">
        <v>2</v>
      </c>
      <c r="F102" s="63">
        <v>6274269001</v>
      </c>
      <c r="G102" s="59">
        <v>17.8</v>
      </c>
      <c r="H102" s="59">
        <v>35.6</v>
      </c>
      <c r="I102" s="60">
        <f t="shared" ref="I102:I108" si="85">(H102-G102)/H102</f>
        <v>0.5</v>
      </c>
      <c r="J102" s="59">
        <f t="shared" ref="J102:J108" si="86">G102</f>
        <v>17.8</v>
      </c>
      <c r="K102" s="59">
        <f t="shared" ref="K102:K108" si="87">G102*(1+$K$2)</f>
        <v>21.538</v>
      </c>
      <c r="L102" s="81">
        <f t="shared" ref="L102:L108" si="88">E102*G102</f>
        <v>35.6</v>
      </c>
      <c r="M102" s="59">
        <f t="shared" ref="M102:M108" si="89">K102*E102</f>
        <v>43.076000000000001</v>
      </c>
      <c r="N102" s="58"/>
      <c r="O102" s="58"/>
      <c r="P102" s="59">
        <f t="shared" ref="P102:P108" si="90">L102/$A$4*12</f>
        <v>11.866666666666667</v>
      </c>
      <c r="Q102" s="59">
        <f t="shared" ref="Q102:R102" si="91">P102</f>
        <v>11.866666666666667</v>
      </c>
      <c r="R102" s="65">
        <f t="shared" si="91"/>
        <v>11.866666666666667</v>
      </c>
      <c r="S102" s="59">
        <v>0</v>
      </c>
      <c r="T102" s="59">
        <v>0</v>
      </c>
    </row>
    <row r="103" spans="1:20" x14ac:dyDescent="0.25">
      <c r="B103" s="14">
        <v>7165790001</v>
      </c>
      <c r="C103" s="14" t="s">
        <v>126</v>
      </c>
      <c r="D103" s="14"/>
      <c r="E103" s="19">
        <v>1</v>
      </c>
      <c r="F103" s="63">
        <v>7165790001</v>
      </c>
      <c r="G103" s="59">
        <v>209.4</v>
      </c>
      <c r="H103" s="59">
        <v>418.8</v>
      </c>
      <c r="I103" s="60">
        <f t="shared" si="85"/>
        <v>0.5</v>
      </c>
      <c r="J103" s="59">
        <f t="shared" si="86"/>
        <v>209.4</v>
      </c>
      <c r="K103" s="59">
        <f t="shared" si="87"/>
        <v>253.374</v>
      </c>
      <c r="L103" s="81">
        <f t="shared" si="88"/>
        <v>209.4</v>
      </c>
      <c r="M103" s="59">
        <f t="shared" si="89"/>
        <v>253.374</v>
      </c>
      <c r="N103" s="58"/>
      <c r="O103" s="58"/>
      <c r="P103" s="59">
        <f t="shared" si="90"/>
        <v>69.8</v>
      </c>
      <c r="Q103" s="59">
        <f t="shared" ref="Q103:R103" si="92">P103</f>
        <v>69.8</v>
      </c>
      <c r="R103" s="65">
        <f t="shared" si="92"/>
        <v>69.8</v>
      </c>
      <c r="S103" s="59">
        <v>0</v>
      </c>
      <c r="T103" s="59">
        <v>0</v>
      </c>
    </row>
    <row r="104" spans="1:20" x14ac:dyDescent="0.25">
      <c r="B104" s="14">
        <v>6274196001</v>
      </c>
      <c r="C104" s="14" t="s">
        <v>127</v>
      </c>
      <c r="D104" s="14"/>
      <c r="E104" s="19">
        <v>1</v>
      </c>
      <c r="F104" s="63">
        <v>6274196001</v>
      </c>
      <c r="G104" s="59">
        <v>223.1</v>
      </c>
      <c r="H104" s="59">
        <v>446.2</v>
      </c>
      <c r="I104" s="60">
        <f t="shared" si="85"/>
        <v>0.5</v>
      </c>
      <c r="J104" s="59">
        <f t="shared" si="86"/>
        <v>223.1</v>
      </c>
      <c r="K104" s="59">
        <f t="shared" si="87"/>
        <v>269.95099999999996</v>
      </c>
      <c r="L104" s="81">
        <f t="shared" si="88"/>
        <v>223.1</v>
      </c>
      <c r="M104" s="59">
        <f t="shared" si="89"/>
        <v>269.95099999999996</v>
      </c>
      <c r="N104" s="58"/>
      <c r="O104" s="58"/>
      <c r="P104" s="59">
        <f t="shared" si="90"/>
        <v>74.36666666666666</v>
      </c>
      <c r="Q104" s="59">
        <f t="shared" ref="Q104:R104" si="93">P104</f>
        <v>74.36666666666666</v>
      </c>
      <c r="R104" s="65">
        <f t="shared" si="93"/>
        <v>74.36666666666666</v>
      </c>
      <c r="S104" s="59">
        <v>0</v>
      </c>
      <c r="T104" s="59">
        <v>0</v>
      </c>
    </row>
    <row r="105" spans="1:20" x14ac:dyDescent="0.25">
      <c r="B105" s="14">
        <v>7165471001</v>
      </c>
      <c r="C105" s="14" t="s">
        <v>128</v>
      </c>
      <c r="D105" s="14"/>
      <c r="E105" s="19">
        <v>1</v>
      </c>
      <c r="F105" s="63">
        <v>7165471001</v>
      </c>
      <c r="G105" s="59">
        <v>214.1</v>
      </c>
      <c r="H105" s="59">
        <v>428.2</v>
      </c>
      <c r="I105" s="60">
        <f t="shared" si="85"/>
        <v>0.5</v>
      </c>
      <c r="J105" s="59">
        <f t="shared" si="86"/>
        <v>214.1</v>
      </c>
      <c r="K105" s="59">
        <f t="shared" si="87"/>
        <v>259.06099999999998</v>
      </c>
      <c r="L105" s="81">
        <f t="shared" si="88"/>
        <v>214.1</v>
      </c>
      <c r="M105" s="59">
        <f t="shared" si="89"/>
        <v>259.06099999999998</v>
      </c>
      <c r="N105" s="58"/>
      <c r="O105" s="58"/>
      <c r="P105" s="59">
        <f t="shared" si="90"/>
        <v>71.36666666666666</v>
      </c>
      <c r="Q105" s="59">
        <f t="shared" ref="Q105:R105" si="94">P105</f>
        <v>71.36666666666666</v>
      </c>
      <c r="R105" s="65">
        <f t="shared" si="94"/>
        <v>71.36666666666666</v>
      </c>
      <c r="S105" s="59">
        <v>0</v>
      </c>
      <c r="T105" s="59">
        <v>0</v>
      </c>
    </row>
    <row r="106" spans="1:20" x14ac:dyDescent="0.25">
      <c r="B106" s="14">
        <v>7315716001</v>
      </c>
      <c r="C106" s="14" t="s">
        <v>129</v>
      </c>
      <c r="D106" s="14"/>
      <c r="E106" s="19">
        <v>1</v>
      </c>
      <c r="F106" s="63">
        <v>7315716001</v>
      </c>
      <c r="G106" s="59">
        <v>9</v>
      </c>
      <c r="H106" s="59">
        <v>18</v>
      </c>
      <c r="I106" s="60">
        <f t="shared" si="85"/>
        <v>0.5</v>
      </c>
      <c r="J106" s="59">
        <f t="shared" si="86"/>
        <v>9</v>
      </c>
      <c r="K106" s="59">
        <f t="shared" si="87"/>
        <v>10.89</v>
      </c>
      <c r="L106" s="81">
        <f t="shared" si="88"/>
        <v>9</v>
      </c>
      <c r="M106" s="59">
        <f t="shared" si="89"/>
        <v>10.89</v>
      </c>
      <c r="N106" s="58"/>
      <c r="O106" s="58"/>
      <c r="P106" s="59">
        <f t="shared" si="90"/>
        <v>3</v>
      </c>
      <c r="Q106" s="59">
        <f t="shared" ref="Q106:R106" si="95">P106</f>
        <v>3</v>
      </c>
      <c r="R106" s="65">
        <f t="shared" si="95"/>
        <v>3</v>
      </c>
      <c r="S106" s="59">
        <v>0</v>
      </c>
      <c r="T106" s="59">
        <v>0</v>
      </c>
    </row>
    <row r="107" spans="1:20" x14ac:dyDescent="0.25">
      <c r="B107" s="14">
        <v>7165455001</v>
      </c>
      <c r="C107" s="14" t="s">
        <v>130</v>
      </c>
      <c r="D107" s="14"/>
      <c r="E107" s="19">
        <v>1</v>
      </c>
      <c r="F107" s="63">
        <v>7165455001</v>
      </c>
      <c r="G107" s="59">
        <v>14</v>
      </c>
      <c r="H107" s="59">
        <v>28</v>
      </c>
      <c r="I107" s="60">
        <f t="shared" si="85"/>
        <v>0.5</v>
      </c>
      <c r="J107" s="59">
        <f t="shared" si="86"/>
        <v>14</v>
      </c>
      <c r="K107" s="59">
        <f t="shared" si="87"/>
        <v>16.939999999999998</v>
      </c>
      <c r="L107" s="81">
        <f t="shared" si="88"/>
        <v>14</v>
      </c>
      <c r="M107" s="59">
        <f t="shared" si="89"/>
        <v>16.939999999999998</v>
      </c>
      <c r="N107" s="58"/>
      <c r="O107" s="58"/>
      <c r="P107" s="59">
        <f t="shared" si="90"/>
        <v>4.666666666666667</v>
      </c>
      <c r="Q107" s="59">
        <f t="shared" ref="Q107:R107" si="96">P107</f>
        <v>4.666666666666667</v>
      </c>
      <c r="R107" s="65">
        <f t="shared" si="96"/>
        <v>4.666666666666667</v>
      </c>
      <c r="S107" s="59">
        <v>0</v>
      </c>
      <c r="T107" s="59">
        <v>0</v>
      </c>
    </row>
    <row r="108" spans="1:20" ht="15.75" thickBot="1" x14ac:dyDescent="0.3">
      <c r="B108" s="12" t="s">
        <v>142</v>
      </c>
      <c r="C108" s="11" t="s">
        <v>115</v>
      </c>
      <c r="D108" s="41"/>
      <c r="E108" s="19">
        <v>20</v>
      </c>
      <c r="F108" s="63" t="s">
        <v>142</v>
      </c>
      <c r="G108" s="59">
        <v>12.17</v>
      </c>
      <c r="H108" s="59">
        <v>24.98</v>
      </c>
      <c r="I108" s="60">
        <f t="shared" si="85"/>
        <v>0.5128102481985588</v>
      </c>
      <c r="J108" s="59">
        <f t="shared" si="86"/>
        <v>12.17</v>
      </c>
      <c r="K108" s="59">
        <f t="shared" si="87"/>
        <v>14.7257</v>
      </c>
      <c r="L108" s="81">
        <f t="shared" si="88"/>
        <v>243.4</v>
      </c>
      <c r="M108" s="59">
        <f t="shared" si="89"/>
        <v>294.51400000000001</v>
      </c>
      <c r="N108" s="58"/>
      <c r="O108" s="58"/>
      <c r="P108" s="59">
        <f t="shared" si="90"/>
        <v>81.133333333333326</v>
      </c>
      <c r="Q108" s="59">
        <f t="shared" ref="Q108:R108" si="97">P108</f>
        <v>81.133333333333326</v>
      </c>
      <c r="R108" s="65">
        <f t="shared" si="97"/>
        <v>81.133333333333326</v>
      </c>
      <c r="S108" s="59">
        <v>0</v>
      </c>
      <c r="T108" s="59">
        <v>0</v>
      </c>
    </row>
    <row r="109" spans="1:20" ht="15.75" thickBot="1" x14ac:dyDescent="0.3">
      <c r="B109" s="177" t="s">
        <v>51</v>
      </c>
      <c r="C109" s="178"/>
      <c r="D109" s="18"/>
      <c r="J109" s="59"/>
      <c r="K109" s="59"/>
      <c r="N109" s="58"/>
      <c r="O109" s="58"/>
    </row>
    <row r="110" spans="1:20" x14ac:dyDescent="0.25">
      <c r="J110" s="59"/>
      <c r="K110" s="59"/>
      <c r="N110" s="58"/>
      <c r="O110" s="58"/>
    </row>
    <row r="111" spans="1:20" x14ac:dyDescent="0.25">
      <c r="J111" s="59"/>
      <c r="K111" s="59"/>
      <c r="N111" s="58"/>
      <c r="O111" s="58"/>
    </row>
    <row r="112" spans="1:20" x14ac:dyDescent="0.25">
      <c r="A112" s="17" t="s">
        <v>69</v>
      </c>
      <c r="B112" s="1" t="s">
        <v>46</v>
      </c>
      <c r="C112" s="1" t="s">
        <v>47</v>
      </c>
      <c r="D112" s="1" t="s">
        <v>48</v>
      </c>
      <c r="E112" s="1" t="s">
        <v>72</v>
      </c>
      <c r="J112" s="59"/>
      <c r="K112" s="59"/>
      <c r="N112" s="58"/>
      <c r="O112" s="58"/>
    </row>
    <row r="113" spans="1:20" s="70" customFormat="1" x14ac:dyDescent="0.25">
      <c r="A113" s="17">
        <v>36</v>
      </c>
      <c r="B113" s="1"/>
      <c r="C113" s="1" t="s">
        <v>161</v>
      </c>
      <c r="D113" s="1"/>
      <c r="E113" s="1"/>
      <c r="F113" s="68"/>
      <c r="G113" s="69">
        <f>SUM(G114:G116)</f>
        <v>14396.3</v>
      </c>
      <c r="H113" s="69">
        <f>SUM(H114:H116)</f>
        <v>16932.03</v>
      </c>
      <c r="J113" s="69">
        <f>SUM(J114:J116)</f>
        <v>14396.3</v>
      </c>
      <c r="K113" s="69">
        <f>SUM(K114:K116)</f>
        <v>17419.523000000001</v>
      </c>
      <c r="L113" s="69">
        <f t="shared" ref="L113:M113" si="98">SUM(L114:L116)</f>
        <v>14396.3</v>
      </c>
      <c r="M113" s="69">
        <f t="shared" si="98"/>
        <v>17419.523000000001</v>
      </c>
      <c r="N113" s="79">
        <f>-PV($N$2,A113,M113/A113)</f>
        <v>17230.801706410191</v>
      </c>
      <c r="O113" s="79">
        <f>ROUND(N113/A113,0)</f>
        <v>479</v>
      </c>
      <c r="P113" s="69"/>
      <c r="Q113" s="69"/>
    </row>
    <row r="114" spans="1:20" x14ac:dyDescent="0.25">
      <c r="B114" s="95">
        <v>5122287001</v>
      </c>
      <c r="C114" s="95" t="s">
        <v>88</v>
      </c>
      <c r="D114" s="95"/>
      <c r="E114" s="89">
        <v>1</v>
      </c>
      <c r="F114" s="63">
        <v>5122287001</v>
      </c>
      <c r="G114" s="59">
        <v>13555</v>
      </c>
      <c r="H114" s="59">
        <v>15494.67</v>
      </c>
      <c r="I114" s="60">
        <f t="shared" ref="I114:I116" si="99">(H114-G114)/H114</f>
        <v>0.12518304681545331</v>
      </c>
      <c r="J114" s="59">
        <f t="shared" ref="J114:J116" si="100">G114</f>
        <v>13555</v>
      </c>
      <c r="K114" s="59">
        <f t="shared" ref="K114:K116" si="101">G114*(1+$K$2)</f>
        <v>16401.55</v>
      </c>
      <c r="L114" s="81">
        <f t="shared" ref="L114:L116" si="102">E114*G114</f>
        <v>13555</v>
      </c>
      <c r="M114" s="59">
        <f t="shared" ref="M114:M116" si="103">K114*E114</f>
        <v>16401.55</v>
      </c>
      <c r="N114" s="58"/>
      <c r="O114" s="58"/>
      <c r="P114" s="81">
        <f>G114/$A$113*12</f>
        <v>4518.333333333333</v>
      </c>
      <c r="Q114" s="59">
        <f t="shared" ref="Q114:T114" si="104">P114</f>
        <v>4518.333333333333</v>
      </c>
      <c r="R114" s="59">
        <f t="shared" si="104"/>
        <v>4518.333333333333</v>
      </c>
      <c r="S114" s="59">
        <f t="shared" si="104"/>
        <v>4518.333333333333</v>
      </c>
      <c r="T114" s="59">
        <f t="shared" si="104"/>
        <v>4518.333333333333</v>
      </c>
    </row>
    <row r="115" spans="1:20" x14ac:dyDescent="0.25">
      <c r="B115" s="14">
        <v>5342481001</v>
      </c>
      <c r="C115" s="14" t="s">
        <v>89</v>
      </c>
      <c r="D115" s="14"/>
      <c r="E115" s="19">
        <v>1</v>
      </c>
      <c r="F115" s="63">
        <v>5342481001</v>
      </c>
      <c r="G115" s="59">
        <v>541.29999999999995</v>
      </c>
      <c r="H115" s="59">
        <v>987.36</v>
      </c>
      <c r="I115" s="60">
        <f t="shared" si="99"/>
        <v>0.45177037757251665</v>
      </c>
      <c r="J115" s="59">
        <f t="shared" si="100"/>
        <v>541.29999999999995</v>
      </c>
      <c r="K115" s="59">
        <f t="shared" si="101"/>
        <v>654.97299999999996</v>
      </c>
      <c r="L115" s="81">
        <f t="shared" si="102"/>
        <v>541.29999999999995</v>
      </c>
      <c r="M115" s="59">
        <f t="shared" si="103"/>
        <v>654.97299999999996</v>
      </c>
      <c r="N115" s="58"/>
      <c r="O115" s="58"/>
      <c r="P115" s="59">
        <f t="shared" ref="P115:P116" si="105">L115/$A$4*12</f>
        <v>180.43333333333331</v>
      </c>
      <c r="Q115" s="59">
        <f t="shared" ref="Q115:R115" si="106">P115</f>
        <v>180.43333333333331</v>
      </c>
      <c r="R115" s="65">
        <f t="shared" si="106"/>
        <v>180.43333333333331</v>
      </c>
      <c r="S115" s="59">
        <v>0</v>
      </c>
      <c r="T115" s="59">
        <v>0</v>
      </c>
    </row>
    <row r="116" spans="1:20" ht="15.75" thickBot="1" x14ac:dyDescent="0.3">
      <c r="B116" s="14"/>
      <c r="C116" s="14" t="s">
        <v>90</v>
      </c>
      <c r="D116" s="14"/>
      <c r="E116" s="19">
        <v>1</v>
      </c>
      <c r="G116" s="59">
        <v>300</v>
      </c>
      <c r="H116" s="59">
        <v>450</v>
      </c>
      <c r="I116" s="60">
        <f t="shared" si="99"/>
        <v>0.33333333333333331</v>
      </c>
      <c r="J116" s="59">
        <f t="shared" si="100"/>
        <v>300</v>
      </c>
      <c r="K116" s="59">
        <f t="shared" si="101"/>
        <v>363</v>
      </c>
      <c r="L116" s="81">
        <f t="shared" si="102"/>
        <v>300</v>
      </c>
      <c r="M116" s="59">
        <f t="shared" si="103"/>
        <v>363</v>
      </c>
      <c r="N116" s="58"/>
      <c r="O116" s="58"/>
      <c r="P116" s="59">
        <f t="shared" si="105"/>
        <v>100</v>
      </c>
      <c r="Q116" s="59">
        <f t="shared" ref="Q116:R116" si="107">P116</f>
        <v>100</v>
      </c>
      <c r="R116" s="65">
        <f t="shared" si="107"/>
        <v>100</v>
      </c>
      <c r="S116" s="59">
        <v>0</v>
      </c>
      <c r="T116" s="59">
        <v>0</v>
      </c>
    </row>
    <row r="117" spans="1:20" ht="15.75" thickBot="1" x14ac:dyDescent="0.3">
      <c r="B117" s="177" t="s">
        <v>51</v>
      </c>
      <c r="C117" s="178"/>
      <c r="D117" s="18"/>
      <c r="J117" s="59"/>
      <c r="K117" s="59"/>
      <c r="N117" s="58"/>
      <c r="O117" s="58"/>
    </row>
    <row r="118" spans="1:20" x14ac:dyDescent="0.25">
      <c r="J118" s="59"/>
      <c r="K118" s="59"/>
      <c r="N118" s="58"/>
      <c r="O118" s="58"/>
    </row>
    <row r="119" spans="1:20" x14ac:dyDescent="0.25">
      <c r="J119" s="59"/>
      <c r="K119" s="59"/>
      <c r="N119" s="58"/>
      <c r="O119" s="58"/>
    </row>
    <row r="120" spans="1:20" x14ac:dyDescent="0.25">
      <c r="A120" s="17" t="s">
        <v>70</v>
      </c>
      <c r="B120" s="1" t="s">
        <v>46</v>
      </c>
      <c r="C120" s="1" t="s">
        <v>47</v>
      </c>
      <c r="D120" s="1" t="s">
        <v>48</v>
      </c>
      <c r="E120" s="1" t="s">
        <v>72</v>
      </c>
      <c r="J120" s="59"/>
      <c r="K120" s="59"/>
      <c r="N120" s="58"/>
      <c r="O120" s="58"/>
    </row>
    <row r="121" spans="1:20" s="70" customFormat="1" x14ac:dyDescent="0.25">
      <c r="A121" s="17">
        <v>36</v>
      </c>
      <c r="B121" s="1"/>
      <c r="C121" s="1" t="s">
        <v>161</v>
      </c>
      <c r="D121" s="1"/>
      <c r="E121" s="1"/>
      <c r="F121" s="68"/>
      <c r="G121" s="69">
        <f>SUM(G122:G125)</f>
        <v>472.33</v>
      </c>
      <c r="H121" s="69">
        <f>SUM(H122:H125)</f>
        <v>1042.6300000000001</v>
      </c>
      <c r="J121" s="69">
        <f>SUM(J122:J125)</f>
        <v>472.33</v>
      </c>
      <c r="K121" s="69">
        <f>SUM(K122:K125)</f>
        <v>571.51929999999993</v>
      </c>
      <c r="L121" s="69">
        <f t="shared" ref="L121:M121" si="108">SUM(L122:L125)</f>
        <v>1889.32</v>
      </c>
      <c r="M121" s="69">
        <f t="shared" si="108"/>
        <v>2286.0771999999997</v>
      </c>
      <c r="N121" s="79">
        <f>-PV($N$2,A121,M121/A121)</f>
        <v>2261.3100782808706</v>
      </c>
      <c r="O121" s="79">
        <f>ROUND(N121/A121,0)</f>
        <v>63</v>
      </c>
      <c r="P121" s="69"/>
      <c r="Q121" s="69"/>
    </row>
    <row r="122" spans="1:20" x14ac:dyDescent="0.25">
      <c r="B122" s="14" t="s">
        <v>150</v>
      </c>
      <c r="C122" s="14" t="s">
        <v>91</v>
      </c>
      <c r="D122" s="14"/>
      <c r="E122" s="19">
        <v>4</v>
      </c>
      <c r="F122" s="63" t="s">
        <v>150</v>
      </c>
      <c r="G122" s="59">
        <v>21.46</v>
      </c>
      <c r="H122" s="59">
        <v>30.41</v>
      </c>
      <c r="I122" s="60">
        <f t="shared" ref="I122:I125" si="109">(H122-G122)/H122</f>
        <v>0.29431108188096017</v>
      </c>
      <c r="J122" s="59">
        <f t="shared" ref="J122:J125" si="110">G122</f>
        <v>21.46</v>
      </c>
      <c r="K122" s="59">
        <f t="shared" ref="K122:K125" si="111">G122*(1+$K$2)</f>
        <v>25.9666</v>
      </c>
      <c r="L122" s="81">
        <f t="shared" ref="L122:L125" si="112">E122*G122</f>
        <v>85.84</v>
      </c>
      <c r="M122" s="59">
        <f t="shared" ref="M122:M125" si="113">K122*E122</f>
        <v>103.8664</v>
      </c>
      <c r="N122" s="58"/>
      <c r="O122" s="58"/>
      <c r="P122" s="59">
        <f>L122/3</f>
        <v>28.613333333333333</v>
      </c>
      <c r="Q122" s="59">
        <f>P122</f>
        <v>28.613333333333333</v>
      </c>
      <c r="R122" s="59">
        <f>Q122</f>
        <v>28.613333333333333</v>
      </c>
      <c r="S122" s="59">
        <v>0</v>
      </c>
      <c r="T122" s="59">
        <v>0</v>
      </c>
    </row>
    <row r="123" spans="1:20" x14ac:dyDescent="0.25">
      <c r="B123" s="14" t="s">
        <v>151</v>
      </c>
      <c r="C123" s="14" t="s">
        <v>92</v>
      </c>
      <c r="D123" s="14"/>
      <c r="E123" s="19">
        <v>4</v>
      </c>
      <c r="F123" s="63" t="s">
        <v>151</v>
      </c>
      <c r="G123" s="59">
        <v>15.07</v>
      </c>
      <c r="H123" s="59">
        <v>27.51</v>
      </c>
      <c r="I123" s="60">
        <f t="shared" si="109"/>
        <v>0.45219920029080335</v>
      </c>
      <c r="J123" s="59">
        <f t="shared" si="110"/>
        <v>15.07</v>
      </c>
      <c r="K123" s="59">
        <f t="shared" si="111"/>
        <v>18.2347</v>
      </c>
      <c r="L123" s="81">
        <f t="shared" si="112"/>
        <v>60.28</v>
      </c>
      <c r="M123" s="59">
        <f t="shared" si="113"/>
        <v>72.938800000000001</v>
      </c>
      <c r="N123" s="58"/>
      <c r="O123" s="58"/>
      <c r="P123" s="59">
        <f t="shared" ref="P123:P125" si="114">L123/3</f>
        <v>20.093333333333334</v>
      </c>
      <c r="Q123" s="59">
        <f t="shared" ref="Q123:R125" si="115">P123</f>
        <v>20.093333333333334</v>
      </c>
      <c r="R123" s="59">
        <f t="shared" si="115"/>
        <v>20.093333333333334</v>
      </c>
      <c r="S123" s="59">
        <v>0</v>
      </c>
      <c r="T123" s="59">
        <v>0</v>
      </c>
    </row>
    <row r="124" spans="1:20" x14ac:dyDescent="0.25">
      <c r="B124" s="14" t="s">
        <v>152</v>
      </c>
      <c r="C124" s="14" t="s">
        <v>93</v>
      </c>
      <c r="D124" s="14"/>
      <c r="E124" s="19">
        <v>4</v>
      </c>
      <c r="F124" s="63" t="s">
        <v>152</v>
      </c>
      <c r="G124" s="59">
        <v>126.27</v>
      </c>
      <c r="H124" s="59">
        <v>260.66000000000003</v>
      </c>
      <c r="I124" s="60">
        <f t="shared" si="109"/>
        <v>0.51557584592956351</v>
      </c>
      <c r="J124" s="59">
        <f t="shared" si="110"/>
        <v>126.27</v>
      </c>
      <c r="K124" s="59">
        <f t="shared" si="111"/>
        <v>152.7867</v>
      </c>
      <c r="L124" s="81">
        <f t="shared" si="112"/>
        <v>505.08</v>
      </c>
      <c r="M124" s="59">
        <f t="shared" si="113"/>
        <v>611.14679999999998</v>
      </c>
      <c r="N124" s="58"/>
      <c r="O124" s="58"/>
      <c r="P124" s="59">
        <f t="shared" si="114"/>
        <v>168.35999999999999</v>
      </c>
      <c r="Q124" s="59">
        <f t="shared" si="115"/>
        <v>168.35999999999999</v>
      </c>
      <c r="R124" s="59">
        <f t="shared" si="115"/>
        <v>168.35999999999999</v>
      </c>
      <c r="S124" s="59">
        <v>0</v>
      </c>
      <c r="T124" s="59">
        <v>0</v>
      </c>
    </row>
    <row r="125" spans="1:20" ht="15.75" thickBot="1" x14ac:dyDescent="0.3">
      <c r="B125" s="14" t="s">
        <v>153</v>
      </c>
      <c r="C125" s="14" t="s">
        <v>94</v>
      </c>
      <c r="D125" s="14"/>
      <c r="E125" s="19">
        <v>4</v>
      </c>
      <c r="F125" s="63" t="s">
        <v>153</v>
      </c>
      <c r="G125" s="59">
        <v>309.52999999999997</v>
      </c>
      <c r="H125" s="59">
        <v>724.05</v>
      </c>
      <c r="I125" s="60">
        <f t="shared" si="109"/>
        <v>0.5725018990401215</v>
      </c>
      <c r="J125" s="59">
        <f t="shared" si="110"/>
        <v>309.52999999999997</v>
      </c>
      <c r="K125" s="59">
        <f t="shared" si="111"/>
        <v>374.53129999999993</v>
      </c>
      <c r="L125" s="81">
        <f t="shared" si="112"/>
        <v>1238.1199999999999</v>
      </c>
      <c r="M125" s="59">
        <f t="shared" si="113"/>
        <v>1498.1251999999997</v>
      </c>
      <c r="N125" s="58"/>
      <c r="O125" s="58"/>
      <c r="P125" s="59">
        <f t="shared" si="114"/>
        <v>412.70666666666665</v>
      </c>
      <c r="Q125" s="59">
        <f t="shared" si="115"/>
        <v>412.70666666666665</v>
      </c>
      <c r="R125" s="59">
        <f t="shared" si="115"/>
        <v>412.70666666666665</v>
      </c>
      <c r="S125" s="59">
        <v>0</v>
      </c>
      <c r="T125" s="59">
        <v>0</v>
      </c>
    </row>
    <row r="126" spans="1:20" ht="15.75" thickBot="1" x14ac:dyDescent="0.3">
      <c r="B126" s="177" t="s">
        <v>51</v>
      </c>
      <c r="C126" s="178"/>
      <c r="D126" s="18"/>
      <c r="J126" s="59"/>
      <c r="K126" s="59"/>
      <c r="N126" s="58"/>
      <c r="O126" s="58"/>
    </row>
    <row r="127" spans="1:20" x14ac:dyDescent="0.25">
      <c r="J127" s="59"/>
      <c r="K127" s="59"/>
      <c r="N127" s="58"/>
      <c r="O127" s="58"/>
    </row>
    <row r="128" spans="1:20" x14ac:dyDescent="0.25">
      <c r="J128" s="59"/>
      <c r="K128" s="59"/>
      <c r="N128" s="58"/>
      <c r="O128" s="58"/>
    </row>
    <row r="129" spans="1:22" x14ac:dyDescent="0.25">
      <c r="A129" s="17" t="s">
        <v>71</v>
      </c>
      <c r="B129" s="1" t="s">
        <v>46</v>
      </c>
      <c r="C129" s="1" t="s">
        <v>47</v>
      </c>
      <c r="D129" s="1" t="s">
        <v>48</v>
      </c>
      <c r="E129" s="1" t="s">
        <v>72</v>
      </c>
      <c r="J129" s="59"/>
      <c r="K129" s="59"/>
      <c r="N129" s="58"/>
      <c r="O129" s="58"/>
    </row>
    <row r="130" spans="1:22" s="70" customFormat="1" x14ac:dyDescent="0.25">
      <c r="A130" s="17">
        <v>36</v>
      </c>
      <c r="B130" s="1"/>
      <c r="C130" s="1" t="s">
        <v>161</v>
      </c>
      <c r="D130" s="1"/>
      <c r="E130" s="1"/>
      <c r="F130" s="68"/>
      <c r="G130" s="69">
        <f>G131</f>
        <v>733.06</v>
      </c>
      <c r="H130" s="69">
        <f>H131</f>
        <v>2012.86</v>
      </c>
      <c r="J130" s="69">
        <f>J131</f>
        <v>733.06</v>
      </c>
      <c r="K130" s="69">
        <f>K131</f>
        <v>887.00259999999992</v>
      </c>
      <c r="L130" s="69">
        <f t="shared" ref="L130:M130" si="116">L131</f>
        <v>733.06</v>
      </c>
      <c r="M130" s="69">
        <f t="shared" si="116"/>
        <v>887.00259999999992</v>
      </c>
      <c r="N130" s="79">
        <f>-PV($N$2,A130,M130/A130)</f>
        <v>877.39290643436516</v>
      </c>
      <c r="O130" s="79">
        <f>ROUND(N130/A130,0)</f>
        <v>24</v>
      </c>
      <c r="P130" s="69"/>
      <c r="Q130" s="69"/>
    </row>
    <row r="131" spans="1:22" ht="15.75" thickBot="1" x14ac:dyDescent="0.3">
      <c r="B131" s="14" t="s">
        <v>154</v>
      </c>
      <c r="C131" s="14" t="s">
        <v>95</v>
      </c>
      <c r="D131" s="14"/>
      <c r="E131" s="19">
        <v>1</v>
      </c>
      <c r="F131" s="63" t="s">
        <v>154</v>
      </c>
      <c r="G131" s="59">
        <v>733.06</v>
      </c>
      <c r="H131" s="59">
        <v>2012.86</v>
      </c>
      <c r="I131" s="60">
        <f t="shared" ref="I131" si="117">(H131-G131)/H131</f>
        <v>0.63581173057241935</v>
      </c>
      <c r="J131" s="59">
        <f>G131</f>
        <v>733.06</v>
      </c>
      <c r="K131" s="59">
        <f t="shared" ref="K131" si="118">G131*(1+$K$2)</f>
        <v>887.00259999999992</v>
      </c>
      <c r="L131" s="81">
        <f t="shared" ref="L131" si="119">E131*G131</f>
        <v>733.06</v>
      </c>
      <c r="M131" s="59">
        <f t="shared" ref="M131" si="120">K131*E131</f>
        <v>887.00259999999992</v>
      </c>
      <c r="N131" s="58"/>
      <c r="O131" s="58"/>
      <c r="P131" s="59">
        <f t="shared" ref="P131" si="121">L131/3</f>
        <v>244.35333333333332</v>
      </c>
      <c r="Q131" s="59">
        <f t="shared" ref="Q131:R131" si="122">P131</f>
        <v>244.35333333333332</v>
      </c>
      <c r="R131" s="59">
        <f t="shared" si="122"/>
        <v>244.35333333333332</v>
      </c>
      <c r="S131" s="59">
        <v>0</v>
      </c>
      <c r="T131" s="59">
        <v>0</v>
      </c>
    </row>
    <row r="132" spans="1:22" ht="15.75" thickBot="1" x14ac:dyDescent="0.3">
      <c r="B132" s="177" t="s">
        <v>51</v>
      </c>
      <c r="C132" s="178"/>
      <c r="D132" s="18"/>
      <c r="J132" s="59"/>
      <c r="K132" s="59"/>
      <c r="O132" s="59">
        <f>SUM(O4:O131)*12</f>
        <v>83820</v>
      </c>
    </row>
    <row r="133" spans="1:22" x14ac:dyDescent="0.25">
      <c r="J133" s="59"/>
      <c r="K133" s="59"/>
      <c r="O133" s="105" t="s">
        <v>167</v>
      </c>
      <c r="P133" s="59">
        <f>SUM(P9,P15:P16,P23,P25,P43:P44,P48,P59:P61,P73:P74,P88,P96,P114,P122:P125,P131)</f>
        <v>73117.726666666655</v>
      </c>
      <c r="Q133" s="59">
        <f>SUM(Q9,Q15:Q16,Q23,Q25,Q43:Q44,Q48,Q59:Q61,Q73:Q74,Q88,Q96,Q114,Q122:Q125,Q131)</f>
        <v>66509.726666666669</v>
      </c>
      <c r="R133" s="59">
        <f>SUM(R9,R15:R16,R23,R25,R43:R44,R48,R59:R61,R73:R74,R88,R96,R114,R122:R125,R131)</f>
        <v>66509.726666666669</v>
      </c>
      <c r="S133" s="59">
        <f>SUM(S9,S15:S16,S23,S25,S43:S44,S48,S59:S61,S73:S74,S88,S96,S114,S122:S125,S131)</f>
        <v>42998.333333333336</v>
      </c>
      <c r="T133" s="59">
        <f>SUM(T9,T15:T16,T23,T25,T43:T44,T48,T59:T61,T73:T74,T88,T96,T114,T122:T125,T131)</f>
        <v>42685.533333333333</v>
      </c>
    </row>
    <row r="134" spans="1:22" x14ac:dyDescent="0.25">
      <c r="O134" s="105" t="s">
        <v>178</v>
      </c>
      <c r="P134" s="59">
        <f>SUM(P79:P82,P65:P67,P50:P53,P28:P36)</f>
        <v>6093.2500000000018</v>
      </c>
      <c r="Q134" s="59">
        <f>SUM(Q79:Q82,Q65:Q67,Q50:Q53,Q28:Q36)</f>
        <v>6093.2500000000018</v>
      </c>
      <c r="R134" s="59">
        <f>SUM(R79:R82,R65:R67,R50:R53,R28:R36)</f>
        <v>6093.2500000000018</v>
      </c>
      <c r="S134" s="59">
        <f>SUM(S79:S82,S65:S67,S50:S53,S28:S36)</f>
        <v>6093.2500000000018</v>
      </c>
      <c r="T134" s="59">
        <f>SUM(T79:T82,T65:T67,T50:T53,T28:T36)</f>
        <v>6093.2500000000018</v>
      </c>
    </row>
    <row r="135" spans="1:22" x14ac:dyDescent="0.25">
      <c r="O135" s="105" t="s">
        <v>184</v>
      </c>
      <c r="P135" s="59">
        <f>SUM(P115:P116,P97:P100,P89:P95,P75:P77,P62:P63,P45:P46,P26,P24)</f>
        <v>4379.0966666666664</v>
      </c>
      <c r="Q135" s="59">
        <f t="shared" ref="Q135:T135" si="123">SUM(Q115:Q116,Q97:Q100,Q89:Q95,Q75:Q77,Q62:Q63,Q45:Q46,Q26,Q24)</f>
        <v>4379.0966666666664</v>
      </c>
      <c r="R135" s="59">
        <f t="shared" si="123"/>
        <v>4379.0966666666664</v>
      </c>
      <c r="S135" s="59">
        <f t="shared" si="123"/>
        <v>0</v>
      </c>
      <c r="T135" s="59">
        <f t="shared" si="123"/>
        <v>0</v>
      </c>
    </row>
    <row r="136" spans="1:22" x14ac:dyDescent="0.25">
      <c r="P136" s="59">
        <f>SUM(P135,P133)</f>
        <v>77496.823333333319</v>
      </c>
      <c r="Q136" s="59">
        <f t="shared" ref="Q136:T136" si="124">SUM(Q135,Q133)</f>
        <v>70888.823333333334</v>
      </c>
      <c r="R136" s="59">
        <f t="shared" si="124"/>
        <v>70888.823333333334</v>
      </c>
      <c r="S136" s="59">
        <f t="shared" si="124"/>
        <v>42998.333333333336</v>
      </c>
      <c r="T136" s="59">
        <f t="shared" si="124"/>
        <v>42685.533333333333</v>
      </c>
    </row>
    <row r="137" spans="1:22" x14ac:dyDescent="0.25">
      <c r="P137" s="115"/>
      <c r="Q137" s="112" t="s">
        <v>169</v>
      </c>
      <c r="R137" s="112" t="s">
        <v>180</v>
      </c>
      <c r="S137" s="113" t="s">
        <v>181</v>
      </c>
      <c r="T137" s="113" t="s">
        <v>182</v>
      </c>
      <c r="U137" s="113" t="s">
        <v>183</v>
      </c>
      <c r="V137" s="114" t="s">
        <v>185</v>
      </c>
    </row>
    <row r="138" spans="1:22" x14ac:dyDescent="0.25">
      <c r="P138" s="116" t="s">
        <v>172</v>
      </c>
      <c r="Q138" s="59">
        <f>SUM(O4:O131)*12</f>
        <v>83820</v>
      </c>
      <c r="R138" s="65">
        <f>Q138</f>
        <v>83820</v>
      </c>
      <c r="S138" s="65">
        <f t="shared" ref="S138:U138" si="125">R138</f>
        <v>83820</v>
      </c>
      <c r="T138" s="65">
        <f t="shared" si="125"/>
        <v>83820</v>
      </c>
      <c r="U138" s="65">
        <f t="shared" si="125"/>
        <v>83820</v>
      </c>
      <c r="V138" s="110">
        <f>SUM(Q138:U138)</f>
        <v>419100</v>
      </c>
    </row>
    <row r="139" spans="1:22" x14ac:dyDescent="0.25">
      <c r="P139" s="116" t="s">
        <v>167</v>
      </c>
      <c r="Q139" s="59">
        <f>P136</f>
        <v>77496.823333333319</v>
      </c>
      <c r="R139" s="59">
        <f t="shared" ref="R139:U139" si="126">Q136</f>
        <v>70888.823333333334</v>
      </c>
      <c r="S139" s="59">
        <f t="shared" si="126"/>
        <v>70888.823333333334</v>
      </c>
      <c r="T139" s="59">
        <f t="shared" si="126"/>
        <v>42998.333333333336</v>
      </c>
      <c r="U139" s="59">
        <f t="shared" si="126"/>
        <v>42685.533333333333</v>
      </c>
      <c r="V139" s="110">
        <f t="shared" ref="V139:V141" si="127">SUM(Q139:U139)</f>
        <v>304958.33666666667</v>
      </c>
    </row>
    <row r="140" spans="1:22" x14ac:dyDescent="0.25">
      <c r="P140" s="116" t="s">
        <v>184</v>
      </c>
      <c r="Q140" s="59">
        <v>0</v>
      </c>
      <c r="R140" s="59">
        <v>0</v>
      </c>
      <c r="S140" s="59">
        <v>0</v>
      </c>
      <c r="T140" s="59">
        <f t="shared" ref="T140:U140" si="128">S135</f>
        <v>0</v>
      </c>
      <c r="U140" s="59">
        <f t="shared" si="128"/>
        <v>0</v>
      </c>
      <c r="V140" s="110">
        <f t="shared" si="127"/>
        <v>0</v>
      </c>
    </row>
    <row r="141" spans="1:22" ht="15.75" thickBot="1" x14ac:dyDescent="0.3">
      <c r="P141" s="117" t="s">
        <v>178</v>
      </c>
      <c r="Q141" s="107">
        <f>P134</f>
        <v>6093.2500000000018</v>
      </c>
      <c r="R141" s="107">
        <f t="shared" ref="R141:U141" si="129">Q134</f>
        <v>6093.2500000000018</v>
      </c>
      <c r="S141" s="107">
        <f t="shared" si="129"/>
        <v>6093.2500000000018</v>
      </c>
      <c r="T141" s="107">
        <f t="shared" si="129"/>
        <v>6093.2500000000018</v>
      </c>
      <c r="U141" s="107">
        <f t="shared" si="129"/>
        <v>6093.2500000000018</v>
      </c>
      <c r="V141" s="111">
        <f t="shared" si="127"/>
        <v>30466.250000000007</v>
      </c>
    </row>
    <row r="142" spans="1:22" ht="15.75" thickTop="1" x14ac:dyDescent="0.25">
      <c r="P142" s="116" t="s">
        <v>173</v>
      </c>
      <c r="Q142" s="80">
        <f>Q138-Q139-Q140-Q141</f>
        <v>229.92666666667901</v>
      </c>
      <c r="R142" s="80">
        <f>R138-R139-R140-R141</f>
        <v>6837.9266666666645</v>
      </c>
      <c r="S142" s="80">
        <f t="shared" ref="S142:V142" si="130">S138-S139-S140-S141</f>
        <v>6837.9266666666645</v>
      </c>
      <c r="T142" s="80">
        <f t="shared" si="130"/>
        <v>34728.416666666664</v>
      </c>
      <c r="U142" s="80">
        <f t="shared" si="130"/>
        <v>35041.216666666667</v>
      </c>
      <c r="V142" s="108">
        <f t="shared" si="130"/>
        <v>83675.41333333333</v>
      </c>
    </row>
    <row r="143" spans="1:22" x14ac:dyDescent="0.25">
      <c r="P143" s="116" t="s">
        <v>174</v>
      </c>
      <c r="Q143" s="106">
        <f>Q142/Q138</f>
        <v>2.7431002942815441E-3</v>
      </c>
      <c r="R143" s="106">
        <f>R142/R138</f>
        <v>8.1578700389723979E-2</v>
      </c>
      <c r="S143" s="106">
        <f t="shared" ref="S143:V143" si="131">S142/S138</f>
        <v>8.1578700389723979E-2</v>
      </c>
      <c r="T143" s="106">
        <f t="shared" si="131"/>
        <v>0.41432136323868607</v>
      </c>
      <c r="U143" s="106">
        <f t="shared" si="131"/>
        <v>0.41805316949017735</v>
      </c>
      <c r="V143" s="109">
        <f t="shared" si="131"/>
        <v>0.19965500676051856</v>
      </c>
    </row>
  </sheetData>
  <mergeCells count="8">
    <mergeCell ref="B126:C126"/>
    <mergeCell ref="B132:C132"/>
    <mergeCell ref="B37:C37"/>
    <mergeCell ref="B54:C54"/>
    <mergeCell ref="B68:C68"/>
    <mergeCell ref="B83:C83"/>
    <mergeCell ref="B109:C109"/>
    <mergeCell ref="B117:C117"/>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33" sqref="L33"/>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Instruments</vt:lpstr>
      <vt:lpstr>Sheet</vt:lpstr>
      <vt:lpstr>Instruments v.2</vt:lpstr>
      <vt:lpstr>Sheet1</vt:lpstr>
    </vt:vector>
  </TitlesOfParts>
  <Company>F. Hoffmann-La Roche,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Baltusis, Eimantas {DEEB~Vilnius}</dc:creator>
  <cp:lastModifiedBy>Baltusis, Eimantas {DEEB~Vilnius}</cp:lastModifiedBy>
  <dcterms:created xsi:type="dcterms:W3CDTF">2015-12-10T18:05:19Z</dcterms:created>
  <dcterms:modified xsi:type="dcterms:W3CDTF">2015-12-20T16:02:38Z</dcterms:modified>
</cp:coreProperties>
</file>