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5120" windowHeight="7770" firstSheet="1" activeTab="1"/>
  </bookViews>
  <sheets>
    <sheet name="Instruments" sheetId="1" state="hidden" r:id="rId1"/>
    <sheet name="AF" sheetId="5" r:id="rId2"/>
    <sheet name="Instruments v.2" sheetId="4" state="hidden" r:id="rId3"/>
  </sheets>
  <calcPr calcId="145621"/>
</workbook>
</file>

<file path=xl/calcChain.xml><?xml version="1.0" encoding="utf-8"?>
<calcChain xmlns="http://schemas.openxmlformats.org/spreadsheetml/2006/main">
  <c r="G95" i="5" l="1"/>
  <c r="H95" i="5" s="1"/>
  <c r="G179" i="5" l="1"/>
  <c r="G178" i="5"/>
  <c r="H178" i="5" s="1"/>
  <c r="G167" i="5"/>
  <c r="H167" i="5" s="1"/>
  <c r="G166" i="5"/>
  <c r="H166" i="5" s="1"/>
  <c r="G165" i="5"/>
  <c r="H165" i="5" s="1"/>
  <c r="G164" i="5"/>
  <c r="H164" i="5" s="1"/>
  <c r="G163" i="5"/>
  <c r="H163" i="5" s="1"/>
  <c r="G162" i="5"/>
  <c r="H162" i="5" s="1"/>
  <c r="G161" i="5"/>
  <c r="G160" i="5"/>
  <c r="G159" i="5"/>
  <c r="H159" i="5" s="1"/>
  <c r="G158" i="5"/>
  <c r="H158" i="5" s="1"/>
  <c r="G157" i="5"/>
  <c r="G156" i="5"/>
  <c r="G155" i="5"/>
  <c r="H155" i="5" s="1"/>
  <c r="G154" i="5"/>
  <c r="H154" i="5" s="1"/>
  <c r="G153" i="5"/>
  <c r="G152" i="5"/>
  <c r="G151" i="5"/>
  <c r="H151" i="5" s="1"/>
  <c r="G150" i="5"/>
  <c r="H150" i="5" s="1"/>
  <c r="G149" i="5"/>
  <c r="G146" i="5"/>
  <c r="G145" i="5"/>
  <c r="H145" i="5" s="1"/>
  <c r="G141" i="5"/>
  <c r="G137" i="5"/>
  <c r="G134" i="5"/>
  <c r="G133" i="5"/>
  <c r="H133" i="5" s="1"/>
  <c r="G129" i="5"/>
  <c r="G126" i="5"/>
  <c r="H126" i="5" s="1"/>
  <c r="G125" i="5"/>
  <c r="H125" i="5" s="1"/>
  <c r="G124" i="5"/>
  <c r="G123" i="5"/>
  <c r="G122" i="5"/>
  <c r="G121" i="5"/>
  <c r="H121" i="5" s="1"/>
  <c r="G120" i="5"/>
  <c r="G119" i="5"/>
  <c r="G118" i="5"/>
  <c r="H118" i="5" s="1"/>
  <c r="G117" i="5"/>
  <c r="H117" i="5" s="1"/>
  <c r="G113" i="5"/>
  <c r="H113" i="5" s="1"/>
  <c r="G109" i="5"/>
  <c r="G105" i="5"/>
  <c r="G101" i="5"/>
  <c r="H101" i="5" s="1"/>
  <c r="G100" i="5"/>
  <c r="H100" i="5" s="1"/>
  <c r="G99" i="5"/>
  <c r="H99" i="5" s="1"/>
  <c r="G98" i="5"/>
  <c r="H98" i="5" s="1"/>
  <c r="G94" i="5"/>
  <c r="H94" i="5" s="1"/>
  <c r="G91" i="5"/>
  <c r="H91" i="5" s="1"/>
  <c r="G90" i="5"/>
  <c r="H90" i="5" s="1"/>
  <c r="G86" i="5"/>
  <c r="H86" i="5" s="1"/>
  <c r="G82" i="5"/>
  <c r="H82" i="5" s="1"/>
  <c r="G78" i="5"/>
  <c r="H78" i="5" s="1"/>
  <c r="G74" i="5"/>
  <c r="H74" i="5" s="1"/>
  <c r="G70" i="5"/>
  <c r="H70" i="5" s="1"/>
  <c r="G66" i="5"/>
  <c r="H66" i="5" s="1"/>
  <c r="G62" i="5"/>
  <c r="H62" i="5" s="1"/>
  <c r="G58" i="5"/>
  <c r="H58" i="5" s="1"/>
  <c r="G54" i="5"/>
  <c r="H54" i="5" s="1"/>
  <c r="G50" i="5"/>
  <c r="H50" i="5" s="1"/>
  <c r="G46" i="5"/>
  <c r="H46" i="5" s="1"/>
  <c r="G42" i="5"/>
  <c r="H42" i="5" s="1"/>
  <c r="G38" i="5"/>
  <c r="H38" i="5" s="1"/>
  <c r="G34" i="5"/>
  <c r="G31" i="5"/>
  <c r="H31" i="5" s="1"/>
  <c r="G30" i="5"/>
  <c r="H30" i="5" s="1"/>
  <c r="G27" i="5"/>
  <c r="H27" i="5" s="1"/>
  <c r="G26" i="5"/>
  <c r="H26" i="5" s="1"/>
  <c r="G25" i="5"/>
  <c r="H25" i="5" s="1"/>
  <c r="G24" i="5"/>
  <c r="H24" i="5" s="1"/>
  <c r="G23" i="5"/>
  <c r="H23" i="5" s="1"/>
  <c r="G22" i="5"/>
  <c r="G21" i="5"/>
  <c r="H21" i="5" s="1"/>
  <c r="G20" i="5"/>
  <c r="G19" i="5"/>
  <c r="H19" i="5" s="1"/>
  <c r="G18" i="5"/>
  <c r="H122" i="5" l="1"/>
  <c r="H20" i="5"/>
  <c r="H109" i="5"/>
  <c r="H129" i="5"/>
  <c r="H137" i="5"/>
  <c r="H156" i="5"/>
  <c r="H161" i="5"/>
  <c r="H179" i="5"/>
  <c r="H180" i="5" s="1"/>
  <c r="H22" i="5"/>
  <c r="H34" i="5"/>
  <c r="H120" i="5"/>
  <c r="H134" i="5"/>
  <c r="H141" i="5"/>
  <c r="H149" i="5"/>
  <c r="H160" i="5"/>
  <c r="G180" i="5"/>
  <c r="G168" i="5"/>
  <c r="H119" i="5"/>
  <c r="H124" i="5"/>
  <c r="H146" i="5"/>
  <c r="H153" i="5"/>
  <c r="H18" i="5"/>
  <c r="H105" i="5"/>
  <c r="H123" i="5"/>
  <c r="H152" i="5"/>
  <c r="H157" i="5"/>
  <c r="K5" i="4"/>
  <c r="M5" i="4" s="1"/>
  <c r="U139" i="4"/>
  <c r="T139" i="4"/>
  <c r="S139" i="4"/>
  <c r="R139" i="4"/>
  <c r="T136" i="4"/>
  <c r="S136" i="4"/>
  <c r="R136" i="4"/>
  <c r="Q136" i="4"/>
  <c r="Q139" i="4"/>
  <c r="P136" i="4"/>
  <c r="Q116" i="4"/>
  <c r="R116" i="4" s="1"/>
  <c r="P116" i="4"/>
  <c r="P115" i="4"/>
  <c r="Q115" i="4" s="1"/>
  <c r="R115" i="4" s="1"/>
  <c r="P108" i="4"/>
  <c r="Q108" i="4" s="1"/>
  <c r="R108" i="4" s="1"/>
  <c r="P107" i="4"/>
  <c r="Q107" i="4" s="1"/>
  <c r="R107" i="4" s="1"/>
  <c r="P106" i="4"/>
  <c r="Q106" i="4" s="1"/>
  <c r="R106" i="4" s="1"/>
  <c r="Q105" i="4"/>
  <c r="R105" i="4" s="1"/>
  <c r="P105" i="4"/>
  <c r="P104" i="4"/>
  <c r="Q104" i="4" s="1"/>
  <c r="R104" i="4" s="1"/>
  <c r="P103" i="4"/>
  <c r="Q103" i="4" s="1"/>
  <c r="R103" i="4" s="1"/>
  <c r="P102" i="4"/>
  <c r="Q102" i="4" s="1"/>
  <c r="R102" i="4" s="1"/>
  <c r="P100" i="4"/>
  <c r="Q100" i="4" s="1"/>
  <c r="R100" i="4" s="1"/>
  <c r="P99" i="4"/>
  <c r="Q99" i="4" s="1"/>
  <c r="R99" i="4" s="1"/>
  <c r="P98" i="4"/>
  <c r="Q98" i="4" s="1"/>
  <c r="R98" i="4" s="1"/>
  <c r="Q97" i="4"/>
  <c r="R97" i="4" s="1"/>
  <c r="P97" i="4"/>
  <c r="P95" i="4"/>
  <c r="Q95" i="4" s="1"/>
  <c r="R95" i="4" s="1"/>
  <c r="P94" i="4"/>
  <c r="Q94" i="4" s="1"/>
  <c r="R94" i="4" s="1"/>
  <c r="P93" i="4"/>
  <c r="Q93" i="4" s="1"/>
  <c r="R93" i="4" s="1"/>
  <c r="Q92" i="4"/>
  <c r="R92" i="4" s="1"/>
  <c r="P92" i="4"/>
  <c r="P91" i="4"/>
  <c r="Q91" i="4" s="1"/>
  <c r="R91" i="4" s="1"/>
  <c r="P90" i="4"/>
  <c r="Q90" i="4" s="1"/>
  <c r="R90" i="4" s="1"/>
  <c r="P89" i="4"/>
  <c r="Q89" i="4" s="1"/>
  <c r="R89" i="4" s="1"/>
  <c r="P77" i="4"/>
  <c r="Q77" i="4" s="1"/>
  <c r="R77" i="4" s="1"/>
  <c r="P76" i="4"/>
  <c r="Q76" i="4" s="1"/>
  <c r="R76" i="4" s="1"/>
  <c r="P75" i="4"/>
  <c r="Q75" i="4" s="1"/>
  <c r="R75" i="4" s="1"/>
  <c r="P63" i="4"/>
  <c r="Q63" i="4" s="1"/>
  <c r="R63" i="4" s="1"/>
  <c r="Q62" i="4"/>
  <c r="R62" i="4" s="1"/>
  <c r="P62" i="4"/>
  <c r="P46" i="4"/>
  <c r="Q46" i="4" s="1"/>
  <c r="R46" i="4" s="1"/>
  <c r="P45" i="4"/>
  <c r="Q45" i="4" s="1"/>
  <c r="R45" i="4" s="1"/>
  <c r="P26" i="4"/>
  <c r="Q26" i="4" s="1"/>
  <c r="R26" i="4" s="1"/>
  <c r="P24" i="4"/>
  <c r="Q24" i="4" s="1"/>
  <c r="U140" i="4"/>
  <c r="T140" i="4"/>
  <c r="T135" i="4"/>
  <c r="S135" i="4"/>
  <c r="P131" i="4"/>
  <c r="Q131" i="4" s="1"/>
  <c r="R131" i="4" s="1"/>
  <c r="L131" i="4"/>
  <c r="K131" i="4"/>
  <c r="K130" i="4" s="1"/>
  <c r="J131" i="4"/>
  <c r="J130" i="4" s="1"/>
  <c r="I131" i="4"/>
  <c r="L130" i="4"/>
  <c r="H130" i="4"/>
  <c r="G130" i="4"/>
  <c r="P125" i="4"/>
  <c r="Q125" i="4" s="1"/>
  <c r="R125" i="4" s="1"/>
  <c r="L125" i="4"/>
  <c r="K125" i="4"/>
  <c r="M125" i="4" s="1"/>
  <c r="J125" i="4"/>
  <c r="I125" i="4"/>
  <c r="P124" i="4"/>
  <c r="Q124" i="4" s="1"/>
  <c r="R124" i="4" s="1"/>
  <c r="L124" i="4"/>
  <c r="K124" i="4"/>
  <c r="M124" i="4" s="1"/>
  <c r="J124" i="4"/>
  <c r="I124" i="4"/>
  <c r="P123" i="4"/>
  <c r="Q123" i="4" s="1"/>
  <c r="R123" i="4" s="1"/>
  <c r="L123" i="4"/>
  <c r="K123" i="4"/>
  <c r="J123" i="4"/>
  <c r="I123" i="4"/>
  <c r="P122" i="4"/>
  <c r="Q122" i="4" s="1"/>
  <c r="R122" i="4" s="1"/>
  <c r="L122" i="4"/>
  <c r="K122" i="4"/>
  <c r="M122" i="4" s="1"/>
  <c r="J122" i="4"/>
  <c r="I122" i="4"/>
  <c r="L121" i="4"/>
  <c r="H121" i="4"/>
  <c r="G121" i="4"/>
  <c r="L116" i="4"/>
  <c r="K116" i="4"/>
  <c r="M116" i="4" s="1"/>
  <c r="J116" i="4"/>
  <c r="I116" i="4"/>
  <c r="L115" i="4"/>
  <c r="K115" i="4"/>
  <c r="M115" i="4" s="1"/>
  <c r="J115" i="4"/>
  <c r="J113" i="4" s="1"/>
  <c r="I115" i="4"/>
  <c r="R114" i="4"/>
  <c r="S114" i="4" s="1"/>
  <c r="T114" i="4" s="1"/>
  <c r="Q114" i="4"/>
  <c r="P114" i="4"/>
  <c r="L114" i="4"/>
  <c r="K114" i="4"/>
  <c r="M114" i="4" s="1"/>
  <c r="J114" i="4"/>
  <c r="I114" i="4"/>
  <c r="H113" i="4"/>
  <c r="G113" i="4"/>
  <c r="L108" i="4"/>
  <c r="K108" i="4"/>
  <c r="M108" i="4" s="1"/>
  <c r="J108" i="4"/>
  <c r="I108" i="4"/>
  <c r="L107" i="4"/>
  <c r="K107" i="4"/>
  <c r="M107" i="4" s="1"/>
  <c r="J107" i="4"/>
  <c r="I107" i="4"/>
  <c r="L106" i="4"/>
  <c r="K106" i="4"/>
  <c r="M106" i="4" s="1"/>
  <c r="J106" i="4"/>
  <c r="I106" i="4"/>
  <c r="L105" i="4"/>
  <c r="K105" i="4"/>
  <c r="M105" i="4" s="1"/>
  <c r="J105" i="4"/>
  <c r="I105" i="4"/>
  <c r="L104" i="4"/>
  <c r="K104" i="4"/>
  <c r="M104" i="4" s="1"/>
  <c r="J104" i="4"/>
  <c r="I104" i="4"/>
  <c r="L103" i="4"/>
  <c r="K103" i="4"/>
  <c r="M103" i="4" s="1"/>
  <c r="J103" i="4"/>
  <c r="I103" i="4"/>
  <c r="L102" i="4"/>
  <c r="K102" i="4"/>
  <c r="M102" i="4" s="1"/>
  <c r="J102" i="4"/>
  <c r="I102" i="4"/>
  <c r="L100" i="4"/>
  <c r="K100" i="4"/>
  <c r="M100" i="4" s="1"/>
  <c r="J100" i="4"/>
  <c r="I100" i="4"/>
  <c r="L99" i="4"/>
  <c r="K99" i="4"/>
  <c r="M99" i="4" s="1"/>
  <c r="J99" i="4"/>
  <c r="I99" i="4"/>
  <c r="L98" i="4"/>
  <c r="K98" i="4"/>
  <c r="M98" i="4" s="1"/>
  <c r="J98" i="4"/>
  <c r="I98" i="4"/>
  <c r="L97" i="4"/>
  <c r="K97" i="4"/>
  <c r="M97" i="4" s="1"/>
  <c r="J97" i="4"/>
  <c r="I97" i="4"/>
  <c r="Q96" i="4"/>
  <c r="R96" i="4" s="1"/>
  <c r="S96" i="4" s="1"/>
  <c r="T96" i="4" s="1"/>
  <c r="P96" i="4"/>
  <c r="L96" i="4"/>
  <c r="K96" i="4"/>
  <c r="M96" i="4" s="1"/>
  <c r="J96" i="4"/>
  <c r="I96" i="4"/>
  <c r="L95" i="4"/>
  <c r="K95" i="4"/>
  <c r="M95" i="4" s="1"/>
  <c r="J95" i="4"/>
  <c r="I95" i="4"/>
  <c r="L94" i="4"/>
  <c r="K94" i="4"/>
  <c r="M94" i="4" s="1"/>
  <c r="J94" i="4"/>
  <c r="I94" i="4"/>
  <c r="L93" i="4"/>
  <c r="K93" i="4"/>
  <c r="M93" i="4" s="1"/>
  <c r="J93" i="4"/>
  <c r="I93" i="4"/>
  <c r="L92" i="4"/>
  <c r="K92" i="4"/>
  <c r="M92" i="4" s="1"/>
  <c r="J92" i="4"/>
  <c r="I92" i="4"/>
  <c r="L91" i="4"/>
  <c r="K91" i="4"/>
  <c r="M91" i="4" s="1"/>
  <c r="J91" i="4"/>
  <c r="I91" i="4"/>
  <c r="L90" i="4"/>
  <c r="K90" i="4"/>
  <c r="M90" i="4" s="1"/>
  <c r="J90" i="4"/>
  <c r="I90" i="4"/>
  <c r="L89" i="4"/>
  <c r="K89" i="4"/>
  <c r="M89" i="4" s="1"/>
  <c r="J89" i="4"/>
  <c r="I89" i="4"/>
  <c r="R88" i="4"/>
  <c r="S88" i="4" s="1"/>
  <c r="T88" i="4" s="1"/>
  <c r="Q88" i="4"/>
  <c r="P88" i="4"/>
  <c r="L88" i="4"/>
  <c r="K88" i="4"/>
  <c r="M88" i="4" s="1"/>
  <c r="J88" i="4"/>
  <c r="I88" i="4"/>
  <c r="J87" i="4"/>
  <c r="H87" i="4"/>
  <c r="G87" i="4"/>
  <c r="S82" i="4"/>
  <c r="T82" i="4" s="1"/>
  <c r="P82" i="4"/>
  <c r="Q82" i="4" s="1"/>
  <c r="R82" i="4" s="1"/>
  <c r="M82" i="4"/>
  <c r="L82" i="4"/>
  <c r="K82" i="4"/>
  <c r="J82" i="4"/>
  <c r="I82" i="4"/>
  <c r="Q81" i="4"/>
  <c r="R81" i="4" s="1"/>
  <c r="S81" i="4" s="1"/>
  <c r="T81" i="4" s="1"/>
  <c r="L81" i="4"/>
  <c r="P81" i="4" s="1"/>
  <c r="K81" i="4"/>
  <c r="M81" i="4" s="1"/>
  <c r="J81" i="4"/>
  <c r="I81" i="4"/>
  <c r="S80" i="4"/>
  <c r="T80" i="4" s="1"/>
  <c r="P80" i="4"/>
  <c r="Q80" i="4" s="1"/>
  <c r="R80" i="4" s="1"/>
  <c r="M80" i="4"/>
  <c r="L80" i="4"/>
  <c r="K80" i="4"/>
  <c r="J80" i="4"/>
  <c r="I80" i="4"/>
  <c r="Q79" i="4"/>
  <c r="L79" i="4"/>
  <c r="P79" i="4" s="1"/>
  <c r="K79" i="4"/>
  <c r="M79" i="4" s="1"/>
  <c r="J79" i="4"/>
  <c r="I79" i="4"/>
  <c r="L77" i="4"/>
  <c r="K77" i="4"/>
  <c r="M77" i="4" s="1"/>
  <c r="J77" i="4"/>
  <c r="I77" i="4"/>
  <c r="L76" i="4"/>
  <c r="K76" i="4"/>
  <c r="M76" i="4" s="1"/>
  <c r="J76" i="4"/>
  <c r="I76" i="4"/>
  <c r="L75" i="4"/>
  <c r="K75" i="4"/>
  <c r="M75" i="4" s="1"/>
  <c r="J75" i="4"/>
  <c r="I75" i="4"/>
  <c r="Q74" i="4"/>
  <c r="R74" i="4" s="1"/>
  <c r="S74" i="4" s="1"/>
  <c r="T74" i="4" s="1"/>
  <c r="P74" i="4"/>
  <c r="L74" i="4"/>
  <c r="L72" i="4" s="1"/>
  <c r="K74" i="4"/>
  <c r="J74" i="4"/>
  <c r="I74" i="4"/>
  <c r="P73" i="4"/>
  <c r="Q73" i="4" s="1"/>
  <c r="R73" i="4" s="1"/>
  <c r="S73" i="4" s="1"/>
  <c r="T73" i="4" s="1"/>
  <c r="L73" i="4"/>
  <c r="K73" i="4"/>
  <c r="M73" i="4" s="1"/>
  <c r="J73" i="4"/>
  <c r="J72" i="4" s="1"/>
  <c r="I73" i="4"/>
  <c r="H72" i="4"/>
  <c r="G72" i="4"/>
  <c r="L67" i="4"/>
  <c r="P67" i="4" s="1"/>
  <c r="Q67" i="4" s="1"/>
  <c r="R67" i="4" s="1"/>
  <c r="S67" i="4" s="1"/>
  <c r="T67" i="4" s="1"/>
  <c r="K67" i="4"/>
  <c r="M67" i="4" s="1"/>
  <c r="J67" i="4"/>
  <c r="I67" i="4"/>
  <c r="P66" i="4"/>
  <c r="Q66" i="4" s="1"/>
  <c r="R66" i="4" s="1"/>
  <c r="S66" i="4" s="1"/>
  <c r="T66" i="4" s="1"/>
  <c r="M66" i="4"/>
  <c r="L66" i="4"/>
  <c r="K66" i="4"/>
  <c r="J66" i="4"/>
  <c r="I66" i="4"/>
  <c r="R65" i="4"/>
  <c r="S65" i="4" s="1"/>
  <c r="T65" i="4" s="1"/>
  <c r="L65" i="4"/>
  <c r="P65" i="4" s="1"/>
  <c r="Q65" i="4" s="1"/>
  <c r="K65" i="4"/>
  <c r="M65" i="4" s="1"/>
  <c r="J65" i="4"/>
  <c r="I65" i="4"/>
  <c r="L63" i="4"/>
  <c r="K63" i="4"/>
  <c r="M63" i="4" s="1"/>
  <c r="J63" i="4"/>
  <c r="I63" i="4"/>
  <c r="L62" i="4"/>
  <c r="K62" i="4"/>
  <c r="M62" i="4" s="1"/>
  <c r="J62" i="4"/>
  <c r="I62" i="4"/>
  <c r="P61" i="4"/>
  <c r="Q61" i="4" s="1"/>
  <c r="R61" i="4" s="1"/>
  <c r="S61" i="4" s="1"/>
  <c r="T61" i="4" s="1"/>
  <c r="L61" i="4"/>
  <c r="K61" i="4"/>
  <c r="M61" i="4" s="1"/>
  <c r="J61" i="4"/>
  <c r="I61" i="4"/>
  <c r="R60" i="4"/>
  <c r="S60" i="4" s="1"/>
  <c r="T60" i="4" s="1"/>
  <c r="T133" i="4" s="1"/>
  <c r="Q60" i="4"/>
  <c r="P60" i="4"/>
  <c r="L60" i="4"/>
  <c r="K60" i="4"/>
  <c r="J60" i="4"/>
  <c r="I60" i="4"/>
  <c r="S59" i="4"/>
  <c r="T59" i="4" s="1"/>
  <c r="P59" i="4"/>
  <c r="Q59" i="4" s="1"/>
  <c r="R59" i="4" s="1"/>
  <c r="L59" i="4"/>
  <c r="K59" i="4"/>
  <c r="M59" i="4" s="1"/>
  <c r="J59" i="4"/>
  <c r="I59" i="4"/>
  <c r="L58" i="4"/>
  <c r="H58" i="4"/>
  <c r="G58" i="4"/>
  <c r="Q53" i="4"/>
  <c r="R53" i="4" s="1"/>
  <c r="S53" i="4" s="1"/>
  <c r="T53" i="4" s="1"/>
  <c r="L53" i="4"/>
  <c r="P53" i="4" s="1"/>
  <c r="K53" i="4"/>
  <c r="M53" i="4" s="1"/>
  <c r="J53" i="4"/>
  <c r="I53" i="4"/>
  <c r="S52" i="4"/>
  <c r="T52" i="4" s="1"/>
  <c r="P52" i="4"/>
  <c r="Q52" i="4" s="1"/>
  <c r="R52" i="4" s="1"/>
  <c r="M52" i="4"/>
  <c r="L52" i="4"/>
  <c r="K52" i="4"/>
  <c r="J52" i="4"/>
  <c r="I52" i="4"/>
  <c r="Q51" i="4"/>
  <c r="R51" i="4" s="1"/>
  <c r="S51" i="4" s="1"/>
  <c r="T51" i="4" s="1"/>
  <c r="L51" i="4"/>
  <c r="P51" i="4" s="1"/>
  <c r="K51" i="4"/>
  <c r="J51" i="4"/>
  <c r="I51" i="4"/>
  <c r="S50" i="4"/>
  <c r="T50" i="4" s="1"/>
  <c r="P50" i="4"/>
  <c r="Q50" i="4" s="1"/>
  <c r="R50" i="4" s="1"/>
  <c r="M50" i="4"/>
  <c r="L50" i="4"/>
  <c r="K50" i="4"/>
  <c r="J50" i="4"/>
  <c r="I50" i="4"/>
  <c r="Q48" i="4"/>
  <c r="R48" i="4" s="1"/>
  <c r="S48" i="4" s="1"/>
  <c r="T48" i="4" s="1"/>
  <c r="P48" i="4"/>
  <c r="L48" i="4"/>
  <c r="K48" i="4"/>
  <c r="M48" i="4" s="1"/>
  <c r="J48" i="4"/>
  <c r="I48" i="4"/>
  <c r="M46" i="4"/>
  <c r="K46" i="4"/>
  <c r="J46" i="4"/>
  <c r="L46" i="4" s="1"/>
  <c r="I46" i="4"/>
  <c r="M45" i="4"/>
  <c r="L45" i="4"/>
  <c r="I45" i="4"/>
  <c r="Q44" i="4"/>
  <c r="R44" i="4" s="1"/>
  <c r="S44" i="4" s="1"/>
  <c r="P44" i="4"/>
  <c r="M44" i="4"/>
  <c r="L44" i="4"/>
  <c r="I44" i="4"/>
  <c r="P43" i="4"/>
  <c r="Q43" i="4" s="1"/>
  <c r="R43" i="4" s="1"/>
  <c r="S43" i="4" s="1"/>
  <c r="S133" i="4" s="1"/>
  <c r="M43" i="4"/>
  <c r="L43" i="4"/>
  <c r="I43" i="4"/>
  <c r="J42" i="4"/>
  <c r="H42" i="4"/>
  <c r="G42" i="4"/>
  <c r="M36" i="4"/>
  <c r="I36" i="4"/>
  <c r="F36" i="4"/>
  <c r="F35" i="4"/>
  <c r="K34" i="4"/>
  <c r="M34" i="4" s="1"/>
  <c r="F34" i="4"/>
  <c r="F33" i="4"/>
  <c r="F32" i="4"/>
  <c r="K31" i="4"/>
  <c r="M31" i="4" s="1"/>
  <c r="L31" i="4"/>
  <c r="P31" i="4" s="1"/>
  <c r="Q31" i="4" s="1"/>
  <c r="R31" i="4" s="1"/>
  <c r="S31" i="4" s="1"/>
  <c r="T31" i="4" s="1"/>
  <c r="F31" i="4"/>
  <c r="L30" i="4"/>
  <c r="P30" i="4" s="1"/>
  <c r="Q30" i="4" s="1"/>
  <c r="R30" i="4" s="1"/>
  <c r="S30" i="4" s="1"/>
  <c r="T30" i="4" s="1"/>
  <c r="J30" i="4"/>
  <c r="F30" i="4"/>
  <c r="L29" i="4"/>
  <c r="P29" i="4" s="1"/>
  <c r="Q29" i="4" s="1"/>
  <c r="R29" i="4" s="1"/>
  <c r="S29" i="4" s="1"/>
  <c r="T29" i="4" s="1"/>
  <c r="K29" i="4"/>
  <c r="M29" i="4" s="1"/>
  <c r="F29" i="4"/>
  <c r="J29" i="4" s="1"/>
  <c r="F28" i="4"/>
  <c r="L26" i="4"/>
  <c r="K26" i="4"/>
  <c r="M26" i="4" s="1"/>
  <c r="J26" i="4"/>
  <c r="I26" i="4"/>
  <c r="Q25" i="4"/>
  <c r="R25" i="4" s="1"/>
  <c r="P25" i="4"/>
  <c r="L25" i="4"/>
  <c r="K25" i="4"/>
  <c r="J25" i="4"/>
  <c r="I25" i="4"/>
  <c r="L24" i="4"/>
  <c r="K24" i="4"/>
  <c r="M24" i="4" s="1"/>
  <c r="J24" i="4"/>
  <c r="I24" i="4"/>
  <c r="R23" i="4"/>
  <c r="L23" i="4"/>
  <c r="P23" i="4" s="1"/>
  <c r="Q23" i="4" s="1"/>
  <c r="K23" i="4"/>
  <c r="M23" i="4" s="1"/>
  <c r="J23" i="4"/>
  <c r="I23" i="4"/>
  <c r="P20" i="4"/>
  <c r="M20" i="4"/>
  <c r="L20" i="4"/>
  <c r="I20" i="4"/>
  <c r="P19" i="4"/>
  <c r="M19" i="4"/>
  <c r="L19" i="4"/>
  <c r="I19" i="4"/>
  <c r="P18" i="4"/>
  <c r="M18" i="4"/>
  <c r="L18" i="4"/>
  <c r="I18" i="4"/>
  <c r="P17" i="4"/>
  <c r="M17" i="4"/>
  <c r="L17" i="4"/>
  <c r="I17" i="4"/>
  <c r="P16" i="4"/>
  <c r="M16" i="4"/>
  <c r="L16" i="4"/>
  <c r="I16" i="4"/>
  <c r="P15" i="4"/>
  <c r="M15" i="4"/>
  <c r="L15" i="4"/>
  <c r="I15" i="4"/>
  <c r="P14" i="4"/>
  <c r="M14" i="4"/>
  <c r="L14" i="4"/>
  <c r="I14" i="4"/>
  <c r="P13" i="4"/>
  <c r="M13" i="4"/>
  <c r="L13" i="4"/>
  <c r="I13" i="4"/>
  <c r="P12" i="4"/>
  <c r="M12" i="4"/>
  <c r="L12" i="4"/>
  <c r="I12" i="4"/>
  <c r="P11" i="4"/>
  <c r="M11" i="4"/>
  <c r="L11" i="4"/>
  <c r="I11" i="4"/>
  <c r="P10" i="4"/>
  <c r="M10" i="4"/>
  <c r="L10" i="4"/>
  <c r="I10" i="4"/>
  <c r="P9" i="4"/>
  <c r="M9" i="4"/>
  <c r="L9" i="4"/>
  <c r="I9" i="4"/>
  <c r="P8" i="4"/>
  <c r="M8" i="4"/>
  <c r="L8" i="4"/>
  <c r="I8" i="4"/>
  <c r="P7" i="4"/>
  <c r="M7" i="4"/>
  <c r="L7" i="4"/>
  <c r="I7" i="4"/>
  <c r="P6" i="4"/>
  <c r="M6" i="4"/>
  <c r="L6" i="4"/>
  <c r="I6" i="4"/>
  <c r="K131" i="1"/>
  <c r="K130" i="1" s="1"/>
  <c r="K125" i="1"/>
  <c r="K124" i="1"/>
  <c r="K123" i="1"/>
  <c r="K122" i="1"/>
  <c r="K116" i="1"/>
  <c r="M116" i="1" s="1"/>
  <c r="K115" i="1"/>
  <c r="K114" i="1"/>
  <c r="K108" i="1"/>
  <c r="K107" i="1"/>
  <c r="K106" i="1"/>
  <c r="K105" i="1"/>
  <c r="K104" i="1"/>
  <c r="K103" i="1"/>
  <c r="K102" i="1"/>
  <c r="K100" i="1"/>
  <c r="K99" i="1"/>
  <c r="K98" i="1"/>
  <c r="K97" i="1"/>
  <c r="K96" i="1"/>
  <c r="K95" i="1"/>
  <c r="K94" i="1"/>
  <c r="K93" i="1"/>
  <c r="K92" i="1"/>
  <c r="K91" i="1"/>
  <c r="K90" i="1"/>
  <c r="K89" i="1"/>
  <c r="K88" i="1"/>
  <c r="K77" i="1"/>
  <c r="K76" i="1"/>
  <c r="K75" i="1"/>
  <c r="K74" i="1"/>
  <c r="K73" i="1"/>
  <c r="K63" i="1"/>
  <c r="K62" i="1"/>
  <c r="K61" i="1"/>
  <c r="K60" i="1"/>
  <c r="K59" i="1"/>
  <c r="K46" i="1"/>
  <c r="M45" i="1"/>
  <c r="M44" i="1"/>
  <c r="K26" i="1"/>
  <c r="K25" i="1"/>
  <c r="K24" i="1"/>
  <c r="K23" i="1"/>
  <c r="K5" i="1"/>
  <c r="Q139" i="1"/>
  <c r="P9" i="1"/>
  <c r="R141" i="1"/>
  <c r="R139" i="1"/>
  <c r="P23" i="1"/>
  <c r="Q141" i="1"/>
  <c r="Q140" i="1"/>
  <c r="P96" i="1"/>
  <c r="Q82" i="1"/>
  <c r="Q81" i="1"/>
  <c r="Q80" i="1"/>
  <c r="Q79" i="1"/>
  <c r="Q67" i="1"/>
  <c r="Q66" i="1"/>
  <c r="Q65" i="1"/>
  <c r="Q53" i="1"/>
  <c r="Q52" i="1"/>
  <c r="Q51" i="1"/>
  <c r="Q50" i="1"/>
  <c r="Q114" i="1"/>
  <c r="Q96" i="1"/>
  <c r="Q88" i="1"/>
  <c r="Q74" i="1"/>
  <c r="Q73" i="1"/>
  <c r="Q61" i="1"/>
  <c r="Q60" i="1"/>
  <c r="Q59" i="1"/>
  <c r="Q48" i="1"/>
  <c r="Q44" i="1"/>
  <c r="Q43" i="1"/>
  <c r="P131" i="1"/>
  <c r="P125" i="1"/>
  <c r="P124" i="1"/>
  <c r="P123" i="1"/>
  <c r="P122" i="1"/>
  <c r="P114" i="1"/>
  <c r="P116" i="1"/>
  <c r="P115" i="1"/>
  <c r="P108" i="1"/>
  <c r="P107" i="1"/>
  <c r="P106" i="1"/>
  <c r="P105" i="1"/>
  <c r="P104" i="1"/>
  <c r="P103" i="1"/>
  <c r="P102" i="1"/>
  <c r="P100" i="1"/>
  <c r="P99" i="1"/>
  <c r="P98" i="1"/>
  <c r="P97" i="1"/>
  <c r="P95" i="1"/>
  <c r="P94" i="1"/>
  <c r="P93" i="1"/>
  <c r="P92" i="1"/>
  <c r="P91" i="1"/>
  <c r="P90" i="1"/>
  <c r="P89" i="1"/>
  <c r="P88" i="1"/>
  <c r="P82" i="1"/>
  <c r="P81" i="1"/>
  <c r="P80" i="1"/>
  <c r="P79" i="1"/>
  <c r="P77" i="1"/>
  <c r="P76" i="1"/>
  <c r="P75" i="1"/>
  <c r="P74" i="1"/>
  <c r="P73" i="1"/>
  <c r="P67" i="1"/>
  <c r="P66" i="1"/>
  <c r="P65" i="1"/>
  <c r="P63" i="1"/>
  <c r="P62" i="1"/>
  <c r="P60" i="1"/>
  <c r="P61" i="1"/>
  <c r="P59" i="1"/>
  <c r="P53" i="1"/>
  <c r="P52" i="1"/>
  <c r="P51" i="1"/>
  <c r="P50" i="1"/>
  <c r="P48" i="1"/>
  <c r="P46" i="1"/>
  <c r="P45" i="1"/>
  <c r="P44" i="1"/>
  <c r="P43" i="1"/>
  <c r="Q25" i="1"/>
  <c r="P25" i="1"/>
  <c r="P26" i="1"/>
  <c r="P24" i="1"/>
  <c r="P20" i="1"/>
  <c r="P19" i="1"/>
  <c r="P18" i="1"/>
  <c r="P17" i="1"/>
  <c r="P16" i="1"/>
  <c r="P15" i="1"/>
  <c r="P14" i="1"/>
  <c r="P13" i="1"/>
  <c r="P12" i="1"/>
  <c r="P11" i="1"/>
  <c r="P10" i="1"/>
  <c r="P8" i="1"/>
  <c r="P7" i="1"/>
  <c r="P6" i="1"/>
  <c r="M5" i="1"/>
  <c r="M46" i="1"/>
  <c r="J46" i="1"/>
  <c r="L46" i="1" s="1"/>
  <c r="I46" i="1"/>
  <c r="L45" i="1"/>
  <c r="L44" i="1"/>
  <c r="M43" i="1"/>
  <c r="L43" i="1"/>
  <c r="L58" i="1"/>
  <c r="L72" i="1"/>
  <c r="L87" i="1"/>
  <c r="L113" i="1"/>
  <c r="L131" i="1"/>
  <c r="L130" i="1" s="1"/>
  <c r="L125" i="1"/>
  <c r="L124" i="1"/>
  <c r="L123" i="1"/>
  <c r="L122" i="1"/>
  <c r="L121" i="1" s="1"/>
  <c r="L116" i="1"/>
  <c r="L115" i="1"/>
  <c r="L114" i="1"/>
  <c r="L108" i="1"/>
  <c r="L107" i="1"/>
  <c r="L106" i="1"/>
  <c r="L105" i="1"/>
  <c r="L104" i="1"/>
  <c r="L103" i="1"/>
  <c r="L102" i="1"/>
  <c r="L100" i="1"/>
  <c r="L99" i="1"/>
  <c r="L98" i="1"/>
  <c r="L97" i="1"/>
  <c r="L96" i="1"/>
  <c r="L95" i="1"/>
  <c r="L94" i="1"/>
  <c r="L93" i="1"/>
  <c r="L92" i="1"/>
  <c r="L91" i="1"/>
  <c r="L90" i="1"/>
  <c r="L89" i="1"/>
  <c r="L88" i="1"/>
  <c r="L82" i="1"/>
  <c r="L81" i="1"/>
  <c r="L80" i="1"/>
  <c r="L79" i="1"/>
  <c r="L77" i="1"/>
  <c r="L76" i="1"/>
  <c r="L75" i="1"/>
  <c r="L74" i="1"/>
  <c r="L73" i="1"/>
  <c r="L67" i="1"/>
  <c r="L66" i="1"/>
  <c r="L65" i="1"/>
  <c r="L63" i="1"/>
  <c r="L62" i="1"/>
  <c r="L61" i="1"/>
  <c r="L60" i="1"/>
  <c r="L59" i="1"/>
  <c r="L53" i="1"/>
  <c r="L52" i="1"/>
  <c r="L51" i="1"/>
  <c r="L50" i="1"/>
  <c r="L48" i="1"/>
  <c r="M36" i="1"/>
  <c r="M20" i="1"/>
  <c r="M19" i="1"/>
  <c r="M18" i="1"/>
  <c r="M17" i="1"/>
  <c r="M16" i="1"/>
  <c r="M15" i="1"/>
  <c r="M14" i="1"/>
  <c r="M13" i="1"/>
  <c r="M12" i="1"/>
  <c r="M11" i="1"/>
  <c r="M10" i="1"/>
  <c r="M9" i="1"/>
  <c r="M8" i="1"/>
  <c r="M7" i="1"/>
  <c r="M6" i="1"/>
  <c r="L20" i="1"/>
  <c r="L19" i="1"/>
  <c r="L18" i="1"/>
  <c r="L17" i="1"/>
  <c r="L16" i="1"/>
  <c r="L15" i="1"/>
  <c r="L14" i="1"/>
  <c r="L13" i="1"/>
  <c r="L12" i="1"/>
  <c r="L11" i="1"/>
  <c r="L10" i="1"/>
  <c r="L9" i="1"/>
  <c r="L8" i="1"/>
  <c r="L7" i="1"/>
  <c r="L6" i="1"/>
  <c r="L23" i="1"/>
  <c r="L24" i="1"/>
  <c r="L25" i="1"/>
  <c r="L26" i="1"/>
  <c r="J116" i="1"/>
  <c r="I116" i="1"/>
  <c r="H130" i="1"/>
  <c r="G130" i="1"/>
  <c r="H121" i="1"/>
  <c r="G121" i="1"/>
  <c r="H113" i="1"/>
  <c r="G113" i="1"/>
  <c r="H87" i="1"/>
  <c r="G87" i="1"/>
  <c r="H72" i="1"/>
  <c r="G72" i="1"/>
  <c r="H58" i="1"/>
  <c r="G58" i="1"/>
  <c r="H42" i="1"/>
  <c r="G42" i="1"/>
  <c r="H168" i="5" l="1"/>
  <c r="K121" i="4"/>
  <c r="M131" i="4"/>
  <c r="M130" i="4" s="1"/>
  <c r="N130" i="4" s="1"/>
  <c r="O130" i="4" s="1"/>
  <c r="M123" i="4"/>
  <c r="M113" i="4"/>
  <c r="N113" i="4" s="1"/>
  <c r="O113" i="4" s="1"/>
  <c r="R24" i="4"/>
  <c r="R135" i="4" s="1"/>
  <c r="Q135" i="4"/>
  <c r="J33" i="4"/>
  <c r="L33" i="4"/>
  <c r="P33" i="4" s="1"/>
  <c r="Q33" i="4" s="1"/>
  <c r="R33" i="4" s="1"/>
  <c r="S33" i="4" s="1"/>
  <c r="T33" i="4" s="1"/>
  <c r="K58" i="4"/>
  <c r="M60" i="4"/>
  <c r="M58" i="4" s="1"/>
  <c r="N58" i="4" s="1"/>
  <c r="O58" i="4" s="1"/>
  <c r="R133" i="4"/>
  <c r="M25" i="4"/>
  <c r="J31" i="4"/>
  <c r="I33" i="4"/>
  <c r="K33" i="4"/>
  <c r="M33" i="4" s="1"/>
  <c r="L36" i="4"/>
  <c r="P36" i="4" s="1"/>
  <c r="Q36" i="4" s="1"/>
  <c r="R36" i="4" s="1"/>
  <c r="S36" i="4" s="1"/>
  <c r="T36" i="4" s="1"/>
  <c r="J36" i="4"/>
  <c r="M51" i="4"/>
  <c r="M42" i="4" s="1"/>
  <c r="N42" i="4" s="1"/>
  <c r="O42" i="4" s="1"/>
  <c r="K42" i="4"/>
  <c r="M121" i="4"/>
  <c r="N121" i="4" s="1"/>
  <c r="O121" i="4" s="1"/>
  <c r="I30" i="4"/>
  <c r="P133" i="4"/>
  <c r="V139" i="4" s="1"/>
  <c r="Q133" i="4"/>
  <c r="I29" i="4"/>
  <c r="K30" i="4"/>
  <c r="M30" i="4" s="1"/>
  <c r="I31" i="4"/>
  <c r="P135" i="4"/>
  <c r="V140" i="4" s="1"/>
  <c r="L42" i="4"/>
  <c r="I34" i="4"/>
  <c r="M87" i="4"/>
  <c r="N87" i="4" s="1"/>
  <c r="O87" i="4" s="1"/>
  <c r="J58" i="4"/>
  <c r="R79" i="4"/>
  <c r="L87" i="4"/>
  <c r="L113" i="4"/>
  <c r="J121" i="4"/>
  <c r="K72" i="4"/>
  <c r="M74" i="4"/>
  <c r="M72" i="4" s="1"/>
  <c r="N72" i="4" s="1"/>
  <c r="O72" i="4" s="1"/>
  <c r="K87" i="4"/>
  <c r="K113" i="4"/>
  <c r="Q23" i="1"/>
  <c r="L42" i="1"/>
  <c r="M131" i="1"/>
  <c r="M130" i="1" s="1"/>
  <c r="N130" i="1" s="1"/>
  <c r="O130" i="1" s="1"/>
  <c r="M125" i="1"/>
  <c r="M124" i="1"/>
  <c r="M123" i="1"/>
  <c r="M122" i="1"/>
  <c r="M115" i="1"/>
  <c r="M108" i="1"/>
  <c r="M107" i="1"/>
  <c r="M106" i="1"/>
  <c r="M105" i="1"/>
  <c r="M104" i="1"/>
  <c r="M103" i="1"/>
  <c r="M102" i="1"/>
  <c r="M100" i="1"/>
  <c r="M99" i="1"/>
  <c r="M98" i="1"/>
  <c r="M97" i="1"/>
  <c r="M96" i="1"/>
  <c r="M95" i="1"/>
  <c r="M94" i="1"/>
  <c r="M93" i="1"/>
  <c r="M92" i="1"/>
  <c r="M91" i="1"/>
  <c r="M90" i="1"/>
  <c r="M89" i="1"/>
  <c r="M88" i="1"/>
  <c r="K82" i="1"/>
  <c r="M82" i="1" s="1"/>
  <c r="K81" i="1"/>
  <c r="M81" i="1" s="1"/>
  <c r="K80" i="1"/>
  <c r="M80" i="1" s="1"/>
  <c r="K79" i="1"/>
  <c r="M79" i="1" s="1"/>
  <c r="M77" i="1"/>
  <c r="M76" i="1"/>
  <c r="M75" i="1"/>
  <c r="M74" i="1"/>
  <c r="M73" i="1"/>
  <c r="K67" i="1"/>
  <c r="M67" i="1" s="1"/>
  <c r="K66" i="1"/>
  <c r="M66" i="1" s="1"/>
  <c r="K65" i="1"/>
  <c r="M65" i="1" s="1"/>
  <c r="M63" i="1"/>
  <c r="M62" i="1"/>
  <c r="M61" i="1"/>
  <c r="M60" i="1"/>
  <c r="M59" i="1"/>
  <c r="K48" i="1"/>
  <c r="M48" i="1" s="1"/>
  <c r="M42" i="1" s="1"/>
  <c r="N42" i="1" s="1"/>
  <c r="O42" i="1" s="1"/>
  <c r="K53" i="1"/>
  <c r="M53" i="1" s="1"/>
  <c r="K52" i="1"/>
  <c r="M52" i="1" s="1"/>
  <c r="K51" i="1"/>
  <c r="M51" i="1" s="1"/>
  <c r="K50" i="1"/>
  <c r="M50" i="1" s="1"/>
  <c r="F36" i="1"/>
  <c r="F35" i="1"/>
  <c r="K35" i="1" s="1"/>
  <c r="M35" i="1" s="1"/>
  <c r="F34" i="1"/>
  <c r="F33" i="1"/>
  <c r="F32" i="1"/>
  <c r="F31" i="1"/>
  <c r="F30" i="1"/>
  <c r="F29" i="1"/>
  <c r="F28" i="1"/>
  <c r="L34" i="1"/>
  <c r="P34" i="1" s="1"/>
  <c r="Q34" i="1" s="1"/>
  <c r="M26" i="1"/>
  <c r="M24" i="1"/>
  <c r="M23" i="1"/>
  <c r="J99" i="1"/>
  <c r="I99" i="1"/>
  <c r="J131" i="1"/>
  <c r="J130" i="1" s="1"/>
  <c r="J125" i="1"/>
  <c r="J124" i="1"/>
  <c r="J123" i="1"/>
  <c r="J122" i="1"/>
  <c r="J115" i="1"/>
  <c r="J114" i="1"/>
  <c r="J108" i="1"/>
  <c r="J107" i="1"/>
  <c r="J106" i="1"/>
  <c r="J105" i="1"/>
  <c r="J104" i="1"/>
  <c r="J103" i="1"/>
  <c r="J102" i="1"/>
  <c r="J100" i="1"/>
  <c r="J98" i="1"/>
  <c r="J97" i="1"/>
  <c r="J96" i="1"/>
  <c r="J95" i="1"/>
  <c r="J94" i="1"/>
  <c r="J93" i="1"/>
  <c r="J92" i="1"/>
  <c r="J91" i="1"/>
  <c r="J90" i="1"/>
  <c r="J89" i="1"/>
  <c r="J88" i="1"/>
  <c r="J82" i="1"/>
  <c r="J81" i="1"/>
  <c r="J80" i="1"/>
  <c r="J79" i="1"/>
  <c r="J77" i="1"/>
  <c r="J76" i="1"/>
  <c r="J75" i="1"/>
  <c r="J74" i="1"/>
  <c r="J73" i="1"/>
  <c r="J67" i="1"/>
  <c r="J66" i="1"/>
  <c r="J65" i="1"/>
  <c r="J63" i="1"/>
  <c r="J62" i="1"/>
  <c r="J61" i="1"/>
  <c r="J60" i="1"/>
  <c r="J59" i="1"/>
  <c r="J53" i="1"/>
  <c r="J52" i="1"/>
  <c r="J51" i="1"/>
  <c r="J50" i="1"/>
  <c r="J48" i="1"/>
  <c r="J26" i="1"/>
  <c r="J25" i="1"/>
  <c r="J24" i="1"/>
  <c r="J23" i="1"/>
  <c r="S79" i="4" l="1"/>
  <c r="L32" i="4"/>
  <c r="P32" i="4" s="1"/>
  <c r="Q32" i="4" s="1"/>
  <c r="R32" i="4" s="1"/>
  <c r="S32" i="4" s="1"/>
  <c r="T32" i="4" s="1"/>
  <c r="J32" i="4"/>
  <c r="K32" i="4"/>
  <c r="M32" i="4" s="1"/>
  <c r="I32" i="4"/>
  <c r="K35" i="4"/>
  <c r="M35" i="4" s="1"/>
  <c r="I35" i="4"/>
  <c r="L28" i="4"/>
  <c r="G4" i="4"/>
  <c r="J28" i="4"/>
  <c r="K28" i="4"/>
  <c r="I28" i="4"/>
  <c r="H4" i="4"/>
  <c r="L34" i="4"/>
  <c r="P34" i="4" s="1"/>
  <c r="Q34" i="4" s="1"/>
  <c r="R34" i="4" s="1"/>
  <c r="S34" i="4" s="1"/>
  <c r="T34" i="4" s="1"/>
  <c r="J34" i="4"/>
  <c r="L35" i="4"/>
  <c r="P35" i="4" s="1"/>
  <c r="Q35" i="4" s="1"/>
  <c r="R35" i="4" s="1"/>
  <c r="S35" i="4" s="1"/>
  <c r="T35" i="4" s="1"/>
  <c r="J35" i="4"/>
  <c r="M121" i="1"/>
  <c r="N121" i="1" s="1"/>
  <c r="O121" i="1" s="1"/>
  <c r="M87" i="1"/>
  <c r="N87" i="1" s="1"/>
  <c r="O87" i="1" s="1"/>
  <c r="K113" i="1"/>
  <c r="M114" i="1"/>
  <c r="M113" i="1" s="1"/>
  <c r="N113" i="1" s="1"/>
  <c r="O113" i="1" s="1"/>
  <c r="M58" i="1"/>
  <c r="N58" i="1" s="1"/>
  <c r="O58" i="1" s="1"/>
  <c r="M72" i="1"/>
  <c r="N72" i="1" s="1"/>
  <c r="O72" i="1" s="1"/>
  <c r="K32" i="1"/>
  <c r="M32" i="1" s="1"/>
  <c r="K30" i="1"/>
  <c r="M30" i="1" s="1"/>
  <c r="K34" i="1"/>
  <c r="M34" i="1" s="1"/>
  <c r="J121" i="1"/>
  <c r="J113" i="1"/>
  <c r="K87" i="1"/>
  <c r="J72" i="1"/>
  <c r="K72" i="1"/>
  <c r="K121" i="1"/>
  <c r="J87" i="1"/>
  <c r="J42" i="1"/>
  <c r="K42" i="1"/>
  <c r="J58" i="1"/>
  <c r="K58" i="1"/>
  <c r="K31" i="1"/>
  <c r="M31" i="1" s="1"/>
  <c r="L28" i="1"/>
  <c r="P28" i="1" s="1"/>
  <c r="K29" i="1"/>
  <c r="M29" i="1" s="1"/>
  <c r="K33" i="1"/>
  <c r="M33" i="1" s="1"/>
  <c r="J35" i="1"/>
  <c r="J34" i="1"/>
  <c r="I131" i="1"/>
  <c r="I125" i="1"/>
  <c r="I124" i="1"/>
  <c r="I123" i="1"/>
  <c r="I122" i="1"/>
  <c r="I115" i="1"/>
  <c r="I114" i="1"/>
  <c r="I108" i="1"/>
  <c r="I107" i="1"/>
  <c r="I106" i="1"/>
  <c r="I105" i="1"/>
  <c r="I104" i="1"/>
  <c r="I103" i="1"/>
  <c r="I102" i="1"/>
  <c r="I100" i="1"/>
  <c r="I98" i="1"/>
  <c r="I97" i="1"/>
  <c r="I96" i="1"/>
  <c r="I95" i="1"/>
  <c r="I94" i="1"/>
  <c r="I93" i="1"/>
  <c r="I92" i="1"/>
  <c r="I91" i="1"/>
  <c r="I90" i="1"/>
  <c r="I89" i="1"/>
  <c r="I88" i="1"/>
  <c r="I82" i="1"/>
  <c r="I81" i="1"/>
  <c r="I80" i="1"/>
  <c r="I79" i="1"/>
  <c r="I77" i="1"/>
  <c r="I76" i="1"/>
  <c r="I75" i="1"/>
  <c r="I74" i="1"/>
  <c r="I73" i="1"/>
  <c r="I67" i="1"/>
  <c r="I66" i="1"/>
  <c r="I65" i="1"/>
  <c r="I63" i="1"/>
  <c r="I62" i="1"/>
  <c r="I61" i="1"/>
  <c r="I60" i="1"/>
  <c r="I59" i="1"/>
  <c r="I53" i="1"/>
  <c r="I52" i="1"/>
  <c r="I51" i="1"/>
  <c r="I50" i="1"/>
  <c r="I48" i="1"/>
  <c r="I45" i="1"/>
  <c r="I44" i="1"/>
  <c r="I43" i="1"/>
  <c r="I26" i="1"/>
  <c r="I25" i="1"/>
  <c r="I24" i="1"/>
  <c r="I23" i="1"/>
  <c r="I20" i="1"/>
  <c r="I19" i="1"/>
  <c r="I18" i="1"/>
  <c r="I17" i="1"/>
  <c r="I16" i="1"/>
  <c r="I15" i="1"/>
  <c r="I14" i="1"/>
  <c r="I13" i="1"/>
  <c r="I12" i="1"/>
  <c r="I11" i="1"/>
  <c r="I10" i="1"/>
  <c r="I9" i="1"/>
  <c r="I8" i="1"/>
  <c r="I7" i="1"/>
  <c r="I6" i="1"/>
  <c r="M28" i="4" l="1"/>
  <c r="M4" i="4" s="1"/>
  <c r="N4" i="4" s="1"/>
  <c r="O4" i="4" s="1"/>
  <c r="K4" i="4"/>
  <c r="J4" i="4"/>
  <c r="P28" i="4"/>
  <c r="L4" i="4"/>
  <c r="T79" i="4"/>
  <c r="Q28" i="1"/>
  <c r="J33" i="1"/>
  <c r="L33" i="1"/>
  <c r="P33" i="1" s="1"/>
  <c r="Q33" i="1" s="1"/>
  <c r="J31" i="1"/>
  <c r="L31" i="1"/>
  <c r="P31" i="1" s="1"/>
  <c r="Q31" i="1" s="1"/>
  <c r="J30" i="1"/>
  <c r="L30" i="1"/>
  <c r="P30" i="1" s="1"/>
  <c r="Q30" i="1" s="1"/>
  <c r="J29" i="1"/>
  <c r="L29" i="1"/>
  <c r="I35" i="1"/>
  <c r="L35" i="1"/>
  <c r="P35" i="1" s="1"/>
  <c r="Q35" i="1" s="1"/>
  <c r="I36" i="1"/>
  <c r="L36" i="1"/>
  <c r="P36" i="1" s="1"/>
  <c r="Q36" i="1" s="1"/>
  <c r="J32" i="1"/>
  <c r="L32" i="1"/>
  <c r="P32" i="1" s="1"/>
  <c r="Q32" i="1" s="1"/>
  <c r="I34" i="1"/>
  <c r="H4" i="1"/>
  <c r="G4" i="1"/>
  <c r="J36" i="1"/>
  <c r="J28" i="1"/>
  <c r="K28" i="1"/>
  <c r="K4" i="1" s="1"/>
  <c r="M25" i="1" s="1"/>
  <c r="I28" i="1"/>
  <c r="I30" i="1"/>
  <c r="I31" i="1"/>
  <c r="I32" i="1"/>
  <c r="I29" i="1"/>
  <c r="I33" i="1"/>
  <c r="Q28" i="4" l="1"/>
  <c r="P134" i="4"/>
  <c r="Q141" i="4" s="1"/>
  <c r="O132" i="4"/>
  <c r="Q138" i="4"/>
  <c r="L4" i="1"/>
  <c r="P29" i="1"/>
  <c r="M28" i="1"/>
  <c r="M4" i="1" s="1"/>
  <c r="N4" i="1" s="1"/>
  <c r="O4" i="1" s="1"/>
  <c r="Q138" i="1" s="1"/>
  <c r="J4" i="1"/>
  <c r="Q142" i="4" l="1"/>
  <c r="Q143" i="4" s="1"/>
  <c r="R138" i="4"/>
  <c r="R28" i="4"/>
  <c r="Q134" i="4"/>
  <c r="R141" i="4" s="1"/>
  <c r="R138" i="1"/>
  <c r="R142" i="1" s="1"/>
  <c r="R143" i="1" s="1"/>
  <c r="Q142" i="1"/>
  <c r="Q143" i="1" s="1"/>
  <c r="Q29" i="1"/>
  <c r="Q133" i="1" s="1"/>
  <c r="P133" i="1"/>
  <c r="S28" i="4" l="1"/>
  <c r="R134" i="4"/>
  <c r="S141" i="4" s="1"/>
  <c r="S138" i="4"/>
  <c r="R142" i="4"/>
  <c r="R143" i="4" s="1"/>
  <c r="V141" i="4" l="1"/>
  <c r="T28" i="4"/>
  <c r="T134" i="4" s="1"/>
  <c r="U141" i="4" s="1"/>
  <c r="S134" i="4"/>
  <c r="T141" i="4" s="1"/>
  <c r="T138" i="4"/>
  <c r="S142" i="4"/>
  <c r="S143" i="4" s="1"/>
  <c r="T142" i="4" l="1"/>
  <c r="T143" i="4" s="1"/>
  <c r="U138" i="4"/>
  <c r="U142" i="4" s="1"/>
  <c r="U143" i="4" s="1"/>
  <c r="V138" i="4" l="1"/>
  <c r="V142" i="4" s="1"/>
  <c r="V143" i="4" s="1"/>
</calcChain>
</file>

<file path=xl/comments1.xml><?xml version="1.0" encoding="utf-8"?>
<comments xmlns="http://schemas.openxmlformats.org/spreadsheetml/2006/main">
  <authors>
    <author>Lykovas, Andrejus {DEEB~Vilnius-Jasinskio}</author>
  </authors>
  <commentList>
    <comment ref="B76" authorId="0">
      <text>
        <r>
          <rPr>
            <b/>
            <sz val="9"/>
            <color indexed="81"/>
            <rFont val="Tahoma"/>
            <family val="2"/>
          </rPr>
          <t>Code is for 2200 V</t>
        </r>
      </text>
    </comment>
  </commentList>
</comments>
</file>

<file path=xl/comments2.xml><?xml version="1.0" encoding="utf-8"?>
<comments xmlns="http://schemas.openxmlformats.org/spreadsheetml/2006/main">
  <authors>
    <author>Lykovas, Andrejus {DEEB~Vilnius-Jasinskio}</author>
  </authors>
  <commentList>
    <comment ref="B76" authorId="0">
      <text>
        <r>
          <rPr>
            <b/>
            <sz val="9"/>
            <color indexed="81"/>
            <rFont val="Tahoma"/>
            <family val="2"/>
          </rPr>
          <t>Code is for 2200 V</t>
        </r>
      </text>
    </comment>
  </commentList>
</comments>
</file>

<file path=xl/sharedStrings.xml><?xml version="1.0" encoding="utf-8"?>
<sst xmlns="http://schemas.openxmlformats.org/spreadsheetml/2006/main" count="1014" uniqueCount="453">
  <si>
    <t xml:space="preserve">Hematologinis analizatorius XN-1000 (RET/PLT-F) SA-10 </t>
  </si>
  <si>
    <t xml:space="preserve">SE000515 </t>
  </si>
  <si>
    <t>UPS_APC2200</t>
  </si>
  <si>
    <t xml:space="preserve">UPS APC SMART-UPS 2200VA USB </t>
  </si>
  <si>
    <t>SIS1302002</t>
  </si>
  <si>
    <t>EHP2035</t>
  </si>
  <si>
    <t>Spausdintuvas HP P2035</t>
  </si>
  <si>
    <t>VNC3542813</t>
  </si>
  <si>
    <t>S38000340</t>
  </si>
  <si>
    <t>HANDHELD BR GRYPHON D-130</t>
  </si>
  <si>
    <t>E12I27365</t>
  </si>
  <si>
    <t>SAP795756</t>
  </si>
  <si>
    <t>XN-10 COMPLETE</t>
  </si>
  <si>
    <t>SBB502040</t>
  </si>
  <si>
    <t>XN-1000 SUPPLY PARTS (EU)</t>
  </si>
  <si>
    <t>A1212</t>
  </si>
  <si>
    <t>SZE000350</t>
  </si>
  <si>
    <t>XN INSTALLATION KIT</t>
  </si>
  <si>
    <t>00-11</t>
  </si>
  <si>
    <t>S01330061</t>
  </si>
  <si>
    <t>PU-17 (200V WHITE)</t>
  </si>
  <si>
    <t>B6053</t>
  </si>
  <si>
    <t>SBH902158</t>
  </si>
  <si>
    <t>Sampler SA-10 SUPPLY PARTS</t>
  </si>
  <si>
    <t>S38000313</t>
  </si>
  <si>
    <t>CAB-426 CABLE HT/XS/UF - 1000I</t>
  </si>
  <si>
    <t>SZE000502</t>
  </si>
  <si>
    <t>XN RET license (for XN-10)</t>
  </si>
  <si>
    <t>SZE000501</t>
  </si>
  <si>
    <t>XN PLT-F license</t>
  </si>
  <si>
    <t>S37000088</t>
  </si>
  <si>
    <t>IPU HP for XN-series</t>
  </si>
  <si>
    <t>CZC3024TKO</t>
  </si>
  <si>
    <t>S37000033</t>
  </si>
  <si>
    <t>Touchscreen for XN</t>
  </si>
  <si>
    <t>S37000037</t>
  </si>
  <si>
    <t>XN Desk Mount LCD ARM</t>
  </si>
  <si>
    <t>SZE000636</t>
  </si>
  <si>
    <t>POWER CABLE FOR XN</t>
  </si>
  <si>
    <t>AP795756</t>
  </si>
  <si>
    <t>CT152030</t>
  </si>
  <si>
    <t>XN-2000 supply parts (EU)</t>
  </si>
  <si>
    <t>AR098169</t>
  </si>
  <si>
    <t>SA-20 complete (sampler for XN-2000)</t>
  </si>
  <si>
    <t>CH989380</t>
  </si>
  <si>
    <t>SA-20 supply parts</t>
  </si>
  <si>
    <t>Code</t>
  </si>
  <si>
    <t>Description</t>
  </si>
  <si>
    <t>Sr. no.</t>
  </si>
  <si>
    <t>Operating lease agreement No. P 13/04/17</t>
  </si>
  <si>
    <t>New instruments</t>
  </si>
  <si>
    <t xml:space="preserve"> Monthly rental price for the devices:</t>
  </si>
  <si>
    <t>1.</t>
  </si>
  <si>
    <t>2.</t>
  </si>
  <si>
    <t>cobas 6000 core unit 150</t>
  </si>
  <si>
    <t>cobas c501 module</t>
  </si>
  <si>
    <t>cobas link date station</t>
  </si>
  <si>
    <t>UPS_GTX 5000</t>
  </si>
  <si>
    <t>SN1229401042 BW63</t>
  </si>
  <si>
    <t>1262-02</t>
  </si>
  <si>
    <t>1365-07</t>
  </si>
  <si>
    <t>SCL96368</t>
  </si>
  <si>
    <t>cobas 6000 e601 module</t>
  </si>
  <si>
    <t>2 x Measuring Cell with REF.</t>
  </si>
  <si>
    <t xml:space="preserve">3. </t>
  </si>
  <si>
    <t>4.</t>
  </si>
  <si>
    <t>cobas 6000 C-line</t>
  </si>
  <si>
    <t>5.</t>
  </si>
  <si>
    <t>cobas 6000 E2-line</t>
  </si>
  <si>
    <t>6.</t>
  </si>
  <si>
    <t>7.</t>
  </si>
  <si>
    <t>8.</t>
  </si>
  <si>
    <t>QTY</t>
  </si>
  <si>
    <t>New instrument</t>
  </si>
  <si>
    <t>HP LP P2035</t>
  </si>
  <si>
    <t>Eaton 5PX 3000</t>
  </si>
  <si>
    <t>cobas u 601 urine analyzer</t>
  </si>
  <si>
    <t>Installation kit cobas 6500/ u601/ u701</t>
  </si>
  <si>
    <t>Waste Box Carton</t>
  </si>
  <si>
    <t>cobas U Calibration Strip, 25 Str.</t>
  </si>
  <si>
    <t>Rack Tray, 75 pos, collapsible, PVT</t>
  </si>
  <si>
    <t>RD STANDARD RACK 0001-0050</t>
  </si>
  <si>
    <t>STD-RACK, WASH W999 GREEN (2 PCS)</t>
  </si>
  <si>
    <t>STD-RACK, CONTROL Q001-Q010 WHITE</t>
  </si>
  <si>
    <t>cobas u 701 microscopy analyzer</t>
  </si>
  <si>
    <t>sample probe cobas u 601</t>
  </si>
  <si>
    <t>sample probe cobas u 701</t>
  </si>
  <si>
    <t>Eaton 5PX 2200</t>
  </si>
  <si>
    <t xml:space="preserve">cobas b 123 &lt;4&gt; POC system </t>
  </si>
  <si>
    <t>Imaging scanner cobas b 123</t>
  </si>
  <si>
    <t>Eaton Ellipse ECO 1600</t>
  </si>
  <si>
    <t>NGBG, Code Key Reader</t>
  </si>
  <si>
    <t>Accu-Chek Inform II Accessory</t>
  </si>
  <si>
    <t>Accu-Chek Inform II Base Unit</t>
  </si>
  <si>
    <t>AC Inform II Meter Kit +RF</t>
  </si>
  <si>
    <t>cobas h 232 Kit (scanner)</t>
  </si>
  <si>
    <t>cobas 6000 e-Line</t>
  </si>
  <si>
    <t>Technical services</t>
  </si>
  <si>
    <t>TUBE PHARMED BPT_1/8IN X 1/4IN (piece)</t>
  </si>
  <si>
    <t>SYRINGE_ASSY NO.31</t>
  </si>
  <si>
    <t>VALVE ASSY NO.144</t>
  </si>
  <si>
    <t>SEAL NO.23</t>
  </si>
  <si>
    <t>O-RING NO.25</t>
  </si>
  <si>
    <t>SPONGE NO. 19 (piece)</t>
  </si>
  <si>
    <t>SEAL NO.156</t>
  </si>
  <si>
    <t>O-RING NO.123</t>
  </si>
  <si>
    <t>05014468001</t>
  </si>
  <si>
    <t>06572227001</t>
  </si>
  <si>
    <t>06934226001</t>
  </si>
  <si>
    <t>06931090001</t>
  </si>
  <si>
    <t>06931537001</t>
  </si>
  <si>
    <t>05011418001</t>
  </si>
  <si>
    <t>06572596001</t>
  </si>
  <si>
    <t>06572243001</t>
  </si>
  <si>
    <t>Technical services (2 times/year)</t>
  </si>
  <si>
    <t>Work (24,98/hour)</t>
  </si>
  <si>
    <t>Halogen lamp</t>
  </si>
  <si>
    <t>c501 Maintenance Kit 4</t>
  </si>
  <si>
    <t>c501 Maintenance Kit 2</t>
  </si>
  <si>
    <t>04813707001</t>
  </si>
  <si>
    <t>07783175001</t>
  </si>
  <si>
    <t>04938836001</t>
  </si>
  <si>
    <t>E170 Kit Box Assy</t>
  </si>
  <si>
    <t>TUBE CELL ASSY</t>
  </si>
  <si>
    <t>03504620001</t>
  </si>
  <si>
    <t xml:space="preserve">KIT MAINTENANCE PUMP PERISTALTIC </t>
  </si>
  <si>
    <t>PUMP MEMBRANE SUCTION L450</t>
  </si>
  <si>
    <t>Hamilton Syringe 2.5 ml</t>
  </si>
  <si>
    <t>Hamilton Syringe 250 ml</t>
  </si>
  <si>
    <t>Water filter</t>
  </si>
  <si>
    <t>Air filter control unit</t>
  </si>
  <si>
    <t>06509983001</t>
  </si>
  <si>
    <t>05551625001</t>
  </si>
  <si>
    <t>06509835001</t>
  </si>
  <si>
    <t>06509827001</t>
  </si>
  <si>
    <t>06509860001</t>
  </si>
  <si>
    <t>06509878001</t>
  </si>
  <si>
    <t>06509886001</t>
  </si>
  <si>
    <t>06688080001</t>
  </si>
  <si>
    <t>06509797001</t>
  </si>
  <si>
    <t>06509916001</t>
  </si>
  <si>
    <t>06509924001</t>
  </si>
  <si>
    <t>07418248001</t>
  </si>
  <si>
    <t>04516362001</t>
  </si>
  <si>
    <t>07315201001</t>
  </si>
  <si>
    <t>04921984001</t>
  </si>
  <si>
    <t>06509975001</t>
  </si>
  <si>
    <t>06509967001</t>
  </si>
  <si>
    <t>05930723001</t>
  </si>
  <si>
    <t>7418183001</t>
  </si>
  <si>
    <t>04884671001</t>
  </si>
  <si>
    <t>05060281001</t>
  </si>
  <si>
    <t>05060290001</t>
  </si>
  <si>
    <t>05060303001</t>
  </si>
  <si>
    <t>04901142190</t>
  </si>
  <si>
    <t>STD</t>
  </si>
  <si>
    <t>Mat Nr.</t>
  </si>
  <si>
    <t>BSP</t>
  </si>
  <si>
    <t>%</t>
  </si>
  <si>
    <t>FMV</t>
  </si>
  <si>
    <t>NBV</t>
  </si>
  <si>
    <t>FULL SYSTEM</t>
  </si>
  <si>
    <t>PER PIECE</t>
  </si>
  <si>
    <t>07418191001</t>
  </si>
  <si>
    <t>FMV at end of Useful life</t>
  </si>
  <si>
    <t>EURIBOR</t>
  </si>
  <si>
    <t>Payment per month</t>
  </si>
  <si>
    <t>Depreciation</t>
  </si>
  <si>
    <t>Depreciation per month</t>
  </si>
  <si>
    <t>1st Year</t>
  </si>
  <si>
    <t>Rest of the years</t>
  </si>
  <si>
    <t>Monthly Depreciation</t>
  </si>
  <si>
    <t>Sales</t>
  </si>
  <si>
    <t>Profit</t>
  </si>
  <si>
    <t>Profitability</t>
  </si>
  <si>
    <t>Year 1</t>
  </si>
  <si>
    <t>Next Years</t>
  </si>
  <si>
    <t>COGS (one off)</t>
  </si>
  <si>
    <t>Service</t>
  </si>
  <si>
    <t>Mark Up</t>
  </si>
  <si>
    <t>2nd Year</t>
  </si>
  <si>
    <t>3rd Year</t>
  </si>
  <si>
    <t>4th Year</t>
  </si>
  <si>
    <t>5th year</t>
  </si>
  <si>
    <t>Instalation</t>
  </si>
  <si>
    <t>TOTAL</t>
  </si>
  <si>
    <t>Konkurso sąlygų 4 priedas</t>
  </si>
  <si>
    <t>DIAGNOSTIKOS REAGENTŲ, SU ANALIZATORIŲ NUOMA, TECHNINĖ SPECIFIKACIJA</t>
  </si>
  <si>
    <t>REAGENTŲ BEI PAPILDOMŲ PRIEMONIŲ PAVADINIMAI, KIEKIAI IR KAINOS</t>
  </si>
  <si>
    <t>18.  PIRKIMO DALIS – REAGENTAI BEI PAPILDOMOS PRIEMONĖS BIOCHEMINIAM ANALIZATORIUI (1 + 1 VNT.)</t>
  </si>
  <si>
    <r>
      <t xml:space="preserve">18.1. Reagentai bei papildomos priemonės biocheminiam analizatoriui (1 vnt): </t>
    </r>
    <r>
      <rPr>
        <b/>
        <i/>
        <sz val="12"/>
        <color indexed="8"/>
        <rFont val="Times New Roman"/>
        <family val="1"/>
      </rPr>
      <t>Cobas c501</t>
    </r>
  </si>
  <si>
    <t xml:space="preserve">                               (analizatoriaus pavadinimas)</t>
  </si>
  <si>
    <t>Kontrolinės  ir pagalbinės medžiagos: reagentai paruošti naudojimui, išpilstyti į talpyklas.</t>
  </si>
  <si>
    <t>Pasiūlymą būtina pateikti visoms pirkimo dalies pozicijoms.</t>
  </si>
  <si>
    <t>Eil. Nr.</t>
  </si>
  <si>
    <t>Diagnostinių reagentų, medžiagų pavadinimai</t>
  </si>
  <si>
    <t>Preliminarus tyrimų skaičius per 12 mėn.</t>
  </si>
  <si>
    <t>Reagentų ir priemonių kiekis (ml./vnt.)nurodytam tyrimų skaičiui</t>
  </si>
  <si>
    <t>Siūloma pakuotė</t>
  </si>
  <si>
    <t>Siūlomos pakuotės kaina, EUR be PVM</t>
  </si>
  <si>
    <t>Suma, EUR be PVM
12 mėn.</t>
  </si>
  <si>
    <t>Suma, EUR su PVM
12 mėn.</t>
  </si>
  <si>
    <t>Gamintojas, komercinis prekės pavadinimas</t>
  </si>
  <si>
    <t>BIOCHEMINIAI TYRIMAI</t>
  </si>
  <si>
    <t>Bendras baltymas   TP</t>
  </si>
  <si>
    <t>1.1.</t>
  </si>
  <si>
    <t>Calibrator f.a.s.</t>
  </si>
  <si>
    <t>12 x 3 ml.</t>
  </si>
  <si>
    <t>1.2.</t>
  </si>
  <si>
    <r>
      <t xml:space="preserve">PreciControl ClinChem Multi 1 </t>
    </r>
    <r>
      <rPr>
        <sz val="10"/>
        <rFont val="Times New Roman"/>
        <family val="1"/>
      </rPr>
      <t>QCS</t>
    </r>
  </si>
  <si>
    <t>20 x 5 ml.</t>
  </si>
  <si>
    <t>1.3.</t>
  </si>
  <si>
    <r>
      <t xml:space="preserve">PreciControl ClinChem Multi 2 </t>
    </r>
    <r>
      <rPr>
        <sz val="10"/>
        <rFont val="Times New Roman"/>
        <family val="1"/>
      </rPr>
      <t>QCS</t>
    </r>
  </si>
  <si>
    <t>Baltymas šlapime</t>
  </si>
  <si>
    <t>2.1.</t>
  </si>
  <si>
    <t>C.f.a.s PUC</t>
  </si>
  <si>
    <t>5 x 1 ml.</t>
  </si>
  <si>
    <t>2.2.</t>
  </si>
  <si>
    <t>Precinorm PUC</t>
  </si>
  <si>
    <t>4 x 3 ml.</t>
  </si>
  <si>
    <t>2.3.</t>
  </si>
  <si>
    <t>Precipath PUC</t>
  </si>
  <si>
    <t>3.</t>
  </si>
  <si>
    <t>C reaktyvusis baltymas  CRB/CRP</t>
  </si>
  <si>
    <t>3.1.</t>
  </si>
  <si>
    <t>Calibrator f.a.s. Proteins</t>
  </si>
  <si>
    <t>3.2.</t>
  </si>
  <si>
    <t>3.3.</t>
  </si>
  <si>
    <t>Šlapalas UREA</t>
  </si>
  <si>
    <t>4.1.</t>
  </si>
  <si>
    <t>4.2.</t>
  </si>
  <si>
    <t>4.3.</t>
  </si>
  <si>
    <t>Kreatininas</t>
  </si>
  <si>
    <t>5.1.</t>
  </si>
  <si>
    <t>5.2.</t>
  </si>
  <si>
    <t>5.3.</t>
  </si>
  <si>
    <t>Kreatininas šlapime</t>
  </si>
  <si>
    <t>6.1.</t>
  </si>
  <si>
    <t>6.2.</t>
  </si>
  <si>
    <t>6.3.</t>
  </si>
  <si>
    <t>Šlapimo rūgštis  UA</t>
  </si>
  <si>
    <t>7.1.</t>
  </si>
  <si>
    <t>7.2.</t>
  </si>
  <si>
    <t>7.3.</t>
  </si>
  <si>
    <t>Bendras bilirubinas   TBIL</t>
  </si>
  <si>
    <t>8.1.</t>
  </si>
  <si>
    <t>8.2.</t>
  </si>
  <si>
    <t>8.3.</t>
  </si>
  <si>
    <t>9.</t>
  </si>
  <si>
    <t>Tiesioginis bilirubinas   DBIL</t>
  </si>
  <si>
    <t>9.1.</t>
  </si>
  <si>
    <t>9.2.</t>
  </si>
  <si>
    <t>9.3.</t>
  </si>
  <si>
    <t>10.</t>
  </si>
  <si>
    <t>Alaninaminotransferazė ALT</t>
  </si>
  <si>
    <t>10.1.</t>
  </si>
  <si>
    <t>10.2.</t>
  </si>
  <si>
    <t>10.3.</t>
  </si>
  <si>
    <t>11.</t>
  </si>
  <si>
    <t>Aspartataminotransferazė AST</t>
  </si>
  <si>
    <t>11.1.</t>
  </si>
  <si>
    <t>11.2.</t>
  </si>
  <si>
    <t>11.3.</t>
  </si>
  <si>
    <t>12.</t>
  </si>
  <si>
    <t>Šarminė fosfatazė ALP</t>
  </si>
  <si>
    <t>12.1.</t>
  </si>
  <si>
    <t>12.2.</t>
  </si>
  <si>
    <t>12.3.</t>
  </si>
  <si>
    <t>13.</t>
  </si>
  <si>
    <t>Gama gliutamiltranferazė (GGT)</t>
  </si>
  <si>
    <t>13.1.</t>
  </si>
  <si>
    <t>13.2.</t>
  </si>
  <si>
    <t>13.3.</t>
  </si>
  <si>
    <t>14.</t>
  </si>
  <si>
    <t>Alfa amilazė AMYL</t>
  </si>
  <si>
    <t>14.1.</t>
  </si>
  <si>
    <t>14.2.</t>
  </si>
  <si>
    <t>14.3.</t>
  </si>
  <si>
    <t>15.</t>
  </si>
  <si>
    <t>Kasos amilazė</t>
  </si>
  <si>
    <t>15.1.</t>
  </si>
  <si>
    <t>15.2.</t>
  </si>
  <si>
    <t>15.3.</t>
  </si>
  <si>
    <t>16.</t>
  </si>
  <si>
    <t>Gliukozė</t>
  </si>
  <si>
    <t>16.1.</t>
  </si>
  <si>
    <t>16.2.</t>
  </si>
  <si>
    <t>16.3.</t>
  </si>
  <si>
    <r>
      <t>17</t>
    </r>
    <r>
      <rPr>
        <sz val="12"/>
        <color indexed="8"/>
        <rFont val="Times New Roman"/>
        <family val="1"/>
        <charset val="186"/>
      </rPr>
      <t xml:space="preserve">. </t>
    </r>
  </si>
  <si>
    <t>Cholesterolis CHOL</t>
  </si>
  <si>
    <t>17.1.</t>
  </si>
  <si>
    <t>17.2.</t>
  </si>
  <si>
    <t>17.3.</t>
  </si>
  <si>
    <t>18.</t>
  </si>
  <si>
    <t>Trigliceridai TRIG</t>
  </si>
  <si>
    <t>18.1.</t>
  </si>
  <si>
    <t>18.2.</t>
  </si>
  <si>
    <t>18.3.</t>
  </si>
  <si>
    <t>19.</t>
  </si>
  <si>
    <t>Didelio tankio lipoproteinų cholesterolis DTL</t>
  </si>
  <si>
    <t>19.1.</t>
  </si>
  <si>
    <t>C.f.a.s Lipids</t>
  </si>
  <si>
    <t>3 x 1 ml.</t>
  </si>
  <si>
    <t>19.2.</t>
  </si>
  <si>
    <t>19.3.</t>
  </si>
  <si>
    <t>20.</t>
  </si>
  <si>
    <r>
      <t xml:space="preserve">Mažo tankio lipoproteinų cholesterolis </t>
    </r>
    <r>
      <rPr>
        <sz val="12"/>
        <color indexed="8"/>
        <rFont val="Times New Roman"/>
        <family val="1"/>
        <charset val="186"/>
      </rPr>
      <t xml:space="preserve">(tiesioginis metodas) </t>
    </r>
    <r>
      <rPr>
        <b/>
        <sz val="12"/>
        <color indexed="8"/>
        <rFont val="Times New Roman"/>
        <family val="1"/>
        <charset val="186"/>
      </rPr>
      <t>MTL</t>
    </r>
  </si>
  <si>
    <t>20.1.</t>
  </si>
  <si>
    <t>20.2.</t>
  </si>
  <si>
    <t>20.3.</t>
  </si>
  <si>
    <t>21.</t>
  </si>
  <si>
    <t>Kalis   K</t>
  </si>
  <si>
    <t>1 vnt.</t>
  </si>
  <si>
    <t>22.</t>
  </si>
  <si>
    <t>Natris  Na</t>
  </si>
  <si>
    <t>23.</t>
  </si>
  <si>
    <t>Chloras   Cl</t>
  </si>
  <si>
    <t>24.</t>
  </si>
  <si>
    <t>Kalcis   Ca</t>
  </si>
  <si>
    <t>24.1.</t>
  </si>
  <si>
    <t>24.2.</t>
  </si>
  <si>
    <t>24.3.</t>
  </si>
  <si>
    <t>25.</t>
  </si>
  <si>
    <t>Magnis</t>
  </si>
  <si>
    <t>25.1.</t>
  </si>
  <si>
    <t>25.2.</t>
  </si>
  <si>
    <t>25.3.</t>
  </si>
  <si>
    <t>26.</t>
  </si>
  <si>
    <t>Geležis</t>
  </si>
  <si>
    <t>26.1.</t>
  </si>
  <si>
    <t>26.2.</t>
  </si>
  <si>
    <t>26.3.</t>
  </si>
  <si>
    <t>27.</t>
  </si>
  <si>
    <t>Fosforas</t>
  </si>
  <si>
    <t>27.1.</t>
  </si>
  <si>
    <t>27.2.</t>
  </si>
  <si>
    <t>27.3.</t>
  </si>
  <si>
    <t>28.</t>
  </si>
  <si>
    <t>Glikozilinto hemoglobino koncentracija</t>
  </si>
  <si>
    <t>28.1.</t>
  </si>
  <si>
    <t>Cfas HbA1c</t>
  </si>
  <si>
    <t>3 x 2 ml.</t>
  </si>
  <si>
    <t>28.2.</t>
  </si>
  <si>
    <t>PreciControl HbA1c norm</t>
  </si>
  <si>
    <t>4 x 1 ml.</t>
  </si>
  <si>
    <t>28.3.</t>
  </si>
  <si>
    <t>PreciControl HbA1c path</t>
  </si>
  <si>
    <t>28.4.</t>
  </si>
  <si>
    <t>HbA1c hemolyzing reagent</t>
  </si>
  <si>
    <t>51 ml.</t>
  </si>
  <si>
    <t>29.</t>
  </si>
  <si>
    <t>Reumatoidinis faktorius</t>
  </si>
  <si>
    <t>29.1.</t>
  </si>
  <si>
    <t>Preciset RF</t>
  </si>
  <si>
    <t>29.2.</t>
  </si>
  <si>
    <t>RF Control Set</t>
  </si>
  <si>
    <t>30.</t>
  </si>
  <si>
    <t>Ig G</t>
  </si>
  <si>
    <t>30.1.</t>
  </si>
  <si>
    <t>30.2.</t>
  </si>
  <si>
    <t>30.3.</t>
  </si>
  <si>
    <t>31.</t>
  </si>
  <si>
    <t>Ig M</t>
  </si>
  <si>
    <t>31.1.</t>
  </si>
  <si>
    <t>31.2.</t>
  </si>
  <si>
    <t>31.3.</t>
  </si>
  <si>
    <t>32.</t>
  </si>
  <si>
    <t>Antistreptolizinas O</t>
  </si>
  <si>
    <t>32.1.</t>
  </si>
  <si>
    <t>C.f.a.s. PAC</t>
  </si>
  <si>
    <t>32.2.</t>
  </si>
  <si>
    <t>32.3.</t>
  </si>
  <si>
    <t>33.</t>
  </si>
  <si>
    <t>Laktatdehidrogenazė LDH</t>
  </si>
  <si>
    <t>33.1.</t>
  </si>
  <si>
    <t>33.2.</t>
  </si>
  <si>
    <t>33.3.</t>
  </si>
  <si>
    <t>34.</t>
  </si>
  <si>
    <t>Kreatinkinazė CK</t>
  </si>
  <si>
    <t>34.1.</t>
  </si>
  <si>
    <t>34.2.</t>
  </si>
  <si>
    <t>34.3.</t>
  </si>
  <si>
    <t>35.</t>
  </si>
  <si>
    <t>Kreatinkinazė CK-MB</t>
  </si>
  <si>
    <t>35.1.</t>
  </si>
  <si>
    <t>C.f.a.s. CK-MB</t>
  </si>
  <si>
    <t>35.2.</t>
  </si>
  <si>
    <t>35.3.</t>
  </si>
  <si>
    <t>36.</t>
  </si>
  <si>
    <t>Diluent NaCl 9 %</t>
  </si>
  <si>
    <t>50 ml.</t>
  </si>
  <si>
    <t>37.</t>
  </si>
  <si>
    <t>Reference Electrode</t>
  </si>
  <si>
    <t>38.</t>
  </si>
  <si>
    <t>ISE Standard low</t>
  </si>
  <si>
    <t>10 x 3 ml.</t>
  </si>
  <si>
    <t>39.</t>
  </si>
  <si>
    <t>ISE Standard high</t>
  </si>
  <si>
    <t>40.</t>
  </si>
  <si>
    <t>ISE Compensator</t>
  </si>
  <si>
    <t>10 x 1 ml.</t>
  </si>
  <si>
    <t>41.</t>
  </si>
  <si>
    <t>ISE Diluent Gen.2</t>
  </si>
  <si>
    <t>5 x 300 ml.</t>
  </si>
  <si>
    <t>42.</t>
  </si>
  <si>
    <t>ISE Internal Standard Gen.2</t>
  </si>
  <si>
    <t>5 x 600 ml.</t>
  </si>
  <si>
    <t>43.</t>
  </si>
  <si>
    <t>ISE Reference Electrolyte Solution</t>
  </si>
  <si>
    <t>44.</t>
  </si>
  <si>
    <t>ISE Cleaning Solution</t>
  </si>
  <si>
    <t>5 x 100 ml.</t>
  </si>
  <si>
    <t>45.</t>
  </si>
  <si>
    <t>Activator</t>
  </si>
  <si>
    <t>9 x 12 ml.</t>
  </si>
  <si>
    <t>46.</t>
  </si>
  <si>
    <t>NaOH-D</t>
  </si>
  <si>
    <t>66 ml.</t>
  </si>
  <si>
    <t>47.</t>
  </si>
  <si>
    <t>SMS</t>
  </si>
  <si>
    <t>48.</t>
  </si>
  <si>
    <t>Cell Wash Solution I/NaOH-D</t>
  </si>
  <si>
    <t>2 x 1,8 l.</t>
  </si>
  <si>
    <t>49.</t>
  </si>
  <si>
    <t>Acid wash Solution</t>
  </si>
  <si>
    <t>50.</t>
  </si>
  <si>
    <t>Multiclean/Sample Cleaner 1</t>
  </si>
  <si>
    <t>12 x 59 ml.</t>
  </si>
  <si>
    <t>51.</t>
  </si>
  <si>
    <t xml:space="preserve">Hitergent for HIT 917 </t>
  </si>
  <si>
    <t>52.</t>
  </si>
  <si>
    <t>Reaction cell sets for cobas c 501</t>
  </si>
  <si>
    <t>53.</t>
  </si>
  <si>
    <t>Sample Cup Micro 13/16</t>
  </si>
  <si>
    <t>900 vnt.</t>
  </si>
  <si>
    <t>54.</t>
  </si>
  <si>
    <t>Cobas sample cup</t>
  </si>
  <si>
    <t>5000 vnt.</t>
  </si>
  <si>
    <t>18.1 pirkimo dalies reagentų ir/ar papildomų priemonių bendra suma Eur:</t>
  </si>
  <si>
    <r>
      <t>18.2. Reagentai bei papildomos priemonės biocheminiam analizatoriui (1 vnt.) C</t>
    </r>
    <r>
      <rPr>
        <b/>
        <i/>
        <sz val="12"/>
        <color indexed="8"/>
        <rFont val="Times New Roman"/>
        <family val="1"/>
      </rPr>
      <t>obas h232</t>
    </r>
  </si>
  <si>
    <t>Troponino T nustatymui heparinizuotame veniniame kraujyje</t>
  </si>
  <si>
    <t>1.1</t>
  </si>
  <si>
    <t>Roche CARDIAC POC Troponin T</t>
  </si>
  <si>
    <t>1.2</t>
  </si>
  <si>
    <t>Roche CARDIAC Control POC Troponin T</t>
  </si>
  <si>
    <t>2 x 1 ml.</t>
  </si>
  <si>
    <t>18.2 pirkimo dalies reagentų ir/ar papildomų priemonių bendra suma Eur:</t>
  </si>
  <si>
    <t>PASTABA.  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</si>
  <si>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12 mėn. atlikimui.</t>
  </si>
  <si>
    <t>3. Reagentai ir papildomos medžiagos/priemonės turi būti paženklinti CE arba lygiaverčiu ženklu.</t>
  </si>
  <si>
    <t>4. Visos siūlomos prekės turi būti originalios, tinkamos darbui siūlomiems analizatoriams (pateikti gamintojo patvirtinimą )</t>
  </si>
  <si>
    <t>5. Reagentų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</si>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</sst>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Red]\(&quot;$&quot;#,##0.00\)"/>
    <numFmt numFmtId="165" formatCode="_(* #,##0.00_);_(* \(#,##0.00\);_(* &quot;-&quot;??_);_(@_)"/>
    <numFmt numFmtId="166" formatCode="_(* #,##0.0_);_(* \(#,##0.0\);_(* &quot;-&quot;??_);_(@_)"/>
    <numFmt numFmtId="167" formatCode="_(* #,##0_);_(* \(#,##0\);_(* &quot;-&quot;??_);_(@_)"/>
    <numFmt numFmtId="168" formatCode="0.000%"/>
  </numFmts>
  <fonts count="38" x14ac:knownFonts="1">
    <font>
      <sz val="11"/>
      <color theme="1"/>
      <name val="Calibri"/>
      <family val="2"/>
      <charset val="186"/>
      <scheme val="minor"/>
    </font>
    <font>
      <b/>
      <sz val="10"/>
      <color rgb="FF000000"/>
      <name val="Times New Roman"/>
      <family val="1"/>
    </font>
    <font>
      <sz val="11"/>
      <color rgb="FF000000"/>
      <name val="Times New Roman"/>
      <family val="1"/>
    </font>
    <font>
      <sz val="11"/>
      <color indexed="8"/>
      <name val="Times New Roman"/>
      <family val="1"/>
    </font>
    <font>
      <sz val="11"/>
      <color theme="1"/>
      <name val="Times New Roman"/>
      <family val="1"/>
    </font>
    <font>
      <sz val="11"/>
      <name val="Times New Roman"/>
      <family val="1"/>
    </font>
    <font>
      <b/>
      <sz val="11"/>
      <color rgb="FF000000"/>
      <name val="Times New Roman"/>
      <family val="1"/>
    </font>
    <font>
      <b/>
      <sz val="11"/>
      <color theme="1"/>
      <name val="Calibri"/>
      <family val="2"/>
      <scheme val="minor"/>
    </font>
    <font>
      <sz val="10"/>
      <name val="Arial"/>
      <family val="2"/>
    </font>
    <font>
      <sz val="10"/>
      <color theme="1"/>
      <name val="Times New Roman"/>
      <family val="1"/>
    </font>
    <font>
      <b/>
      <sz val="10"/>
      <color theme="1"/>
      <name val="Times New Roman"/>
      <family val="1"/>
    </font>
    <font>
      <b/>
      <i/>
      <sz val="10"/>
      <color indexed="8"/>
      <name val="Times New Roman"/>
      <family val="1"/>
    </font>
    <font>
      <b/>
      <i/>
      <sz val="10"/>
      <color theme="1"/>
      <name val="Times New Roman"/>
      <family val="1"/>
    </font>
    <font>
      <sz val="11"/>
      <color theme="1"/>
      <name val="Calibri"/>
      <family val="2"/>
      <charset val="186"/>
      <scheme val="minor"/>
    </font>
    <font>
      <b/>
      <sz val="11"/>
      <color theme="1"/>
      <name val="Times New Roman"/>
      <family val="1"/>
    </font>
    <font>
      <b/>
      <sz val="9"/>
      <color indexed="81"/>
      <name val="Tahoma"/>
      <family val="2"/>
    </font>
    <font>
      <b/>
      <sz val="11"/>
      <color theme="1"/>
      <name val="Calibri"/>
      <family val="2"/>
      <charset val="186"/>
      <scheme val="minor"/>
    </font>
    <font>
      <sz val="12"/>
      <color indexed="8"/>
      <name val="Times New Roman"/>
      <family val="1"/>
      <charset val="186"/>
    </font>
    <font>
      <b/>
      <sz val="12"/>
      <color indexed="8"/>
      <name val="Times New Roman"/>
      <family val="1"/>
      <charset val="186"/>
    </font>
    <font>
      <b/>
      <i/>
      <sz val="12"/>
      <color indexed="8"/>
      <name val="Times New Roman"/>
      <family val="1"/>
    </font>
    <font>
      <i/>
      <sz val="10"/>
      <color indexed="8"/>
      <name val="Times New Roman"/>
      <family val="1"/>
      <charset val="186"/>
    </font>
    <font>
      <b/>
      <sz val="10"/>
      <color indexed="8"/>
      <name val="Times New Roman"/>
      <family val="1"/>
      <charset val="186"/>
    </font>
    <font>
      <b/>
      <sz val="11"/>
      <color theme="1"/>
      <name val="Times New Roman"/>
      <family val="1"/>
      <charset val="186"/>
    </font>
    <font>
      <sz val="9"/>
      <color indexed="8"/>
      <name val="Times New Roman"/>
      <family val="1"/>
      <charset val="186"/>
    </font>
    <font>
      <b/>
      <sz val="9"/>
      <color indexed="8"/>
      <name val="Times New Roman"/>
      <family val="1"/>
      <charset val="186"/>
    </font>
    <font>
      <sz val="10"/>
      <color indexed="8"/>
      <name val="Times New Roman"/>
      <family val="1"/>
      <charset val="186"/>
    </font>
    <font>
      <sz val="10"/>
      <color indexed="8"/>
      <name val="Times New Roman"/>
      <family val="1"/>
    </font>
    <font>
      <sz val="10"/>
      <color rgb="FF00000A"/>
      <name val="Times New Roman"/>
      <family val="1"/>
    </font>
    <font>
      <sz val="10"/>
      <name val="Times New Roman"/>
      <family val="1"/>
    </font>
    <font>
      <sz val="10"/>
      <name val="Times New Roman"/>
      <family val="1"/>
      <charset val="186"/>
    </font>
    <font>
      <sz val="12"/>
      <color indexed="8"/>
      <name val="Calibri"/>
      <family val="2"/>
      <charset val="186"/>
    </font>
    <font>
      <sz val="10"/>
      <color theme="1"/>
      <name val="Times New Roman"/>
      <family val="1"/>
      <charset val="186"/>
    </font>
    <font>
      <b/>
      <sz val="12"/>
      <color indexed="8"/>
      <name val="Times New Roman"/>
      <family val="1"/>
    </font>
    <font>
      <b/>
      <sz val="12"/>
      <color theme="1"/>
      <name val="Times New Roman"/>
      <family val="1"/>
      <charset val="186"/>
    </font>
    <font>
      <sz val="11"/>
      <color theme="1"/>
      <name val="Times New Roman"/>
      <family val="1"/>
      <charset val="186"/>
    </font>
    <font>
      <b/>
      <i/>
      <sz val="10"/>
      <color indexed="8"/>
      <name val="Times New Roman"/>
      <family val="1"/>
      <charset val="186"/>
    </font>
    <font>
      <sz val="10"/>
      <color rgb="FF000000"/>
      <name val="Times New Roman"/>
      <family val="1"/>
    </font>
    <font>
      <sz val="10"/>
      <name val="Arial"/>
      <family val="2"/>
      <charset val="186"/>
    </font>
  </fonts>
  <fills count="10">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indexed="1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style="thin">
        <color indexed="64"/>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8" fillId="0" borderId="0"/>
    <xf numFmtId="165" fontId="13" fillId="0" borderId="0" applyFont="0" applyFill="0" applyBorder="0" applyAlignment="0" applyProtection="0"/>
    <xf numFmtId="9" fontId="13" fillId="0" borderId="0" applyFont="0" applyFill="0" applyBorder="0" applyAlignment="0" applyProtection="0"/>
    <xf numFmtId="0" fontId="37" fillId="0" borderId="0"/>
  </cellStyleXfs>
  <cellXfs count="192">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49" fontId="3" fillId="0" borderId="1" xfId="0" applyNumberFormat="1" applyFont="1" applyFill="1" applyBorder="1" applyAlignment="1">
      <alignment horizontal="center" vertical="top"/>
    </xf>
    <xf numFmtId="0" fontId="4" fillId="0" borderId="1" xfId="0" applyFont="1" applyBorder="1"/>
    <xf numFmtId="0" fontId="3" fillId="0" borderId="1" xfId="0" applyFont="1" applyFill="1" applyBorder="1" applyAlignment="1">
      <alignment horizontal="center" vertical="top"/>
    </xf>
    <xf numFmtId="0" fontId="0" fillId="4" borderId="1" xfId="0" applyFill="1" applyBorder="1"/>
    <xf numFmtId="0" fontId="7" fillId="0" borderId="0" xfId="0" applyFont="1"/>
    <xf numFmtId="0" fontId="4" fillId="0" borderId="3" xfId="0" applyFont="1" applyBorder="1"/>
    <xf numFmtId="0" fontId="0" fillId="0" borderId="4" xfId="0" applyBorder="1"/>
    <xf numFmtId="0" fontId="0" fillId="0" borderId="5" xfId="0" applyBorder="1"/>
    <xf numFmtId="0" fontId="3" fillId="0" borderId="6" xfId="0" applyFont="1" applyFill="1" applyBorder="1" applyAlignment="1">
      <alignment horizontal="center" vertical="top"/>
    </xf>
    <xf numFmtId="49" fontId="3" fillId="0" borderId="6" xfId="0" applyNumberFormat="1" applyFont="1" applyFill="1" applyBorder="1" applyAlignment="1">
      <alignment horizontal="center" vertical="top"/>
    </xf>
    <xf numFmtId="0" fontId="0" fillId="0" borderId="0" xfId="0" applyBorder="1"/>
    <xf numFmtId="0" fontId="4" fillId="0" borderId="1" xfId="0" applyFont="1" applyBorder="1" applyAlignment="1">
      <alignment horizontal="center"/>
    </xf>
    <xf numFmtId="0" fontId="4" fillId="0" borderId="3" xfId="0" applyFont="1" applyBorder="1" applyAlignment="1">
      <alignment horizontal="center"/>
    </xf>
    <xf numFmtId="0" fontId="0" fillId="0" borderId="7" xfId="0" applyBorder="1"/>
    <xf numFmtId="0" fontId="7" fillId="0" borderId="0" xfId="0" applyFont="1" applyAlignment="1">
      <alignment horizontal="center"/>
    </xf>
    <xf numFmtId="0" fontId="0" fillId="0" borderId="8" xfId="0" applyBorder="1"/>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7" fillId="0" borderId="0" xfId="0" applyFont="1" applyBorder="1" applyAlignment="1">
      <alignment horizontal="right"/>
    </xf>
    <xf numFmtId="0" fontId="0" fillId="0" borderId="0" xfId="0" applyBorder="1" applyAlignment="1">
      <alignment horizontal="right"/>
    </xf>
    <xf numFmtId="49" fontId="3" fillId="0" borderId="3" xfId="0" applyNumberFormat="1" applyFont="1" applyFill="1" applyBorder="1" applyAlignment="1">
      <alignment horizontal="center" vertical="top"/>
    </xf>
    <xf numFmtId="0" fontId="3" fillId="0" borderId="3" xfId="0" applyFont="1" applyFill="1" applyBorder="1" applyAlignment="1">
      <alignment horizontal="center" vertical="top"/>
    </xf>
    <xf numFmtId="0" fontId="4" fillId="0" borderId="6" xfId="0" applyFont="1" applyBorder="1"/>
    <xf numFmtId="49" fontId="3" fillId="5" borderId="3" xfId="0" applyNumberFormat="1" applyFont="1" applyFill="1" applyBorder="1" applyAlignment="1">
      <alignment horizontal="center" vertical="top"/>
    </xf>
    <xf numFmtId="0" fontId="3" fillId="5" borderId="3" xfId="0" applyFont="1" applyFill="1" applyBorder="1" applyAlignment="1">
      <alignment horizontal="center" vertical="top"/>
    </xf>
    <xf numFmtId="0" fontId="4" fillId="5" borderId="3" xfId="0" applyFont="1" applyFill="1" applyBorder="1"/>
    <xf numFmtId="49" fontId="3" fillId="4" borderId="3" xfId="0" applyNumberFormat="1" applyFont="1" applyFill="1" applyBorder="1" applyAlignment="1">
      <alignment horizontal="center" vertical="top"/>
    </xf>
    <xf numFmtId="0" fontId="4" fillId="4" borderId="3" xfId="0" applyFont="1" applyFill="1" applyBorder="1"/>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4" fillId="0" borderId="0" xfId="0" applyFont="1" applyBorder="1" applyAlignment="1">
      <alignment horizontal="center"/>
    </xf>
    <xf numFmtId="0" fontId="4" fillId="0" borderId="6" xfId="0" applyFont="1" applyBorder="1" applyAlignment="1">
      <alignment horizontal="center"/>
    </xf>
    <xf numFmtId="0" fontId="4" fillId="4" borderId="1" xfId="0" applyFont="1" applyFill="1" applyBorder="1" applyAlignment="1">
      <alignment horizontal="center"/>
    </xf>
    <xf numFmtId="0" fontId="10" fillId="4" borderId="1" xfId="0" applyFont="1" applyFill="1" applyBorder="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0" fillId="0" borderId="13" xfId="0" applyBorder="1"/>
    <xf numFmtId="0" fontId="4" fillId="0" borderId="14" xfId="0" applyFont="1" applyBorder="1" applyAlignment="1">
      <alignment horizontal="center"/>
    </xf>
    <xf numFmtId="0" fontId="0" fillId="0" borderId="15" xfId="0" applyBorder="1"/>
    <xf numFmtId="0" fontId="4" fillId="0" borderId="16" xfId="0" applyFont="1" applyBorder="1" applyAlignment="1">
      <alignment horizontal="center" vertical="center"/>
    </xf>
    <xf numFmtId="0" fontId="11" fillId="4" borderId="3" xfId="0" applyFont="1" applyFill="1" applyBorder="1" applyAlignment="1">
      <alignment horizontal="center" vertical="top"/>
    </xf>
    <xf numFmtId="0" fontId="12" fillId="4" borderId="1" xfId="0" applyFont="1" applyFill="1" applyBorder="1" applyAlignment="1">
      <alignment horizontal="center"/>
    </xf>
    <xf numFmtId="0" fontId="4" fillId="0" borderId="17" xfId="0" applyFont="1" applyBorder="1" applyAlignment="1">
      <alignment horizontal="center" vertical="center"/>
    </xf>
    <xf numFmtId="0" fontId="12" fillId="4"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14" fillId="0" borderId="1" xfId="0" applyFont="1" applyBorder="1" applyAlignment="1">
      <alignment horizontal="center" vertical="center"/>
    </xf>
    <xf numFmtId="0" fontId="4" fillId="6" borderId="1" xfId="0" applyFont="1" applyFill="1" applyBorder="1" applyAlignment="1">
      <alignment horizontal="center"/>
    </xf>
    <xf numFmtId="165" fontId="0" fillId="0" borderId="0" xfId="2" applyFont="1"/>
    <xf numFmtId="167" fontId="0" fillId="0" borderId="0" xfId="2" applyNumberFormat="1" applyFont="1"/>
    <xf numFmtId="9" fontId="0" fillId="0" borderId="0" xfId="3" applyFont="1"/>
    <xf numFmtId="0" fontId="0" fillId="0" borderId="0" xfId="0" applyAlignment="1">
      <alignment wrapText="1"/>
    </xf>
    <xf numFmtId="0" fontId="0" fillId="0" borderId="0" xfId="0" applyNumberFormat="1" applyAlignment="1">
      <alignment horizontal="center"/>
    </xf>
    <xf numFmtId="0" fontId="0" fillId="0" borderId="0" xfId="0" applyNumberFormat="1"/>
    <xf numFmtId="0" fontId="0" fillId="0" borderId="12" xfId="0" applyNumberFormat="1" applyBorder="1"/>
    <xf numFmtId="167" fontId="0" fillId="0" borderId="0" xfId="0" applyNumberFormat="1"/>
    <xf numFmtId="165" fontId="0" fillId="0" borderId="0" xfId="0" applyNumberFormat="1"/>
    <xf numFmtId="0" fontId="1" fillId="2" borderId="9" xfId="0" applyFont="1" applyFill="1" applyBorder="1" applyAlignment="1">
      <alignment horizontal="center" vertical="center" wrapText="1"/>
    </xf>
    <xf numFmtId="0" fontId="16" fillId="0" borderId="0" xfId="0" applyNumberFormat="1" applyFont="1"/>
    <xf numFmtId="167" fontId="16" fillId="0" borderId="0" xfId="2" applyNumberFormat="1" applyFont="1"/>
    <xf numFmtId="0" fontId="16" fillId="0" borderId="0" xfId="0" applyFont="1"/>
    <xf numFmtId="0" fontId="16" fillId="4" borderId="1" xfId="0" applyFont="1" applyFill="1" applyBorder="1"/>
    <xf numFmtId="167" fontId="16" fillId="0" borderId="0" xfId="0" applyNumberFormat="1" applyFont="1"/>
    <xf numFmtId="167" fontId="16" fillId="0" borderId="0" xfId="2" applyNumberFormat="1" applyFont="1" applyAlignment="1">
      <alignment wrapText="1"/>
    </xf>
    <xf numFmtId="165" fontId="16" fillId="0" borderId="0" xfId="2" applyNumberFormat="1" applyFont="1" applyAlignment="1">
      <alignment wrapText="1"/>
    </xf>
    <xf numFmtId="0" fontId="0" fillId="0" borderId="0" xfId="0" applyFill="1"/>
    <xf numFmtId="0" fontId="7" fillId="0" borderId="0" xfId="0" applyNumberFormat="1" applyFont="1" applyAlignment="1">
      <alignment horizontal="centerContinuous"/>
    </xf>
    <xf numFmtId="167" fontId="7" fillId="0" borderId="0" xfId="2" applyNumberFormat="1" applyFont="1" applyAlignment="1">
      <alignment horizontal="centerContinuous"/>
    </xf>
    <xf numFmtId="0" fontId="7" fillId="0" borderId="0" xfId="0" applyFont="1" applyAlignment="1">
      <alignment horizontal="centerContinuous"/>
    </xf>
    <xf numFmtId="165" fontId="16" fillId="0" borderId="0" xfId="2" applyFont="1"/>
    <xf numFmtId="167" fontId="7" fillId="0" borderId="0" xfId="2" applyNumberFormat="1" applyFont="1"/>
    <xf numFmtId="165" fontId="0" fillId="0" borderId="0" xfId="2" applyNumberFormat="1" applyFont="1"/>
    <xf numFmtId="167" fontId="7" fillId="7" borderId="0" xfId="2" applyNumberFormat="1" applyFont="1" applyFill="1"/>
    <xf numFmtId="167" fontId="0" fillId="7" borderId="0" xfId="2" applyNumberFormat="1" applyFont="1" applyFill="1"/>
    <xf numFmtId="168" fontId="0" fillId="0" borderId="0" xfId="0" applyNumberFormat="1"/>
    <xf numFmtId="164" fontId="16" fillId="0" borderId="0" xfId="0" applyNumberFormat="1" applyFont="1"/>
    <xf numFmtId="0" fontId="7" fillId="0" borderId="0" xfId="0" applyFont="1" applyAlignment="1">
      <alignment wrapText="1"/>
    </xf>
    <xf numFmtId="167" fontId="0" fillId="0" borderId="0" xfId="3" applyNumberFormat="1" applyFont="1"/>
    <xf numFmtId="0" fontId="2" fillId="8" borderId="1" xfId="0" applyFont="1" applyFill="1" applyBorder="1" applyAlignment="1">
      <alignment horizontal="center" vertical="center"/>
    </xf>
    <xf numFmtId="0" fontId="4" fillId="8" borderId="1" xfId="0" applyFont="1" applyFill="1" applyBorder="1" applyAlignment="1">
      <alignment horizontal="center" vertical="center"/>
    </xf>
    <xf numFmtId="49" fontId="5" fillId="8" borderId="1" xfId="0" applyNumberFormat="1" applyFont="1" applyFill="1" applyBorder="1" applyAlignment="1" applyProtection="1">
      <alignment horizontal="center"/>
      <protection locked="0"/>
    </xf>
    <xf numFmtId="0" fontId="5" fillId="8" borderId="1" xfId="0" applyFont="1" applyFill="1" applyBorder="1" applyAlignment="1" applyProtection="1">
      <alignment horizontal="center"/>
      <protection locked="0"/>
    </xf>
    <xf numFmtId="0" fontId="4" fillId="8" borderId="1" xfId="0" applyFont="1" applyFill="1" applyBorder="1"/>
    <xf numFmtId="49" fontId="3" fillId="8" borderId="1" xfId="0" applyNumberFormat="1" applyFont="1" applyFill="1" applyBorder="1" applyAlignment="1">
      <alignment horizontal="center" vertical="top"/>
    </xf>
    <xf numFmtId="0" fontId="3" fillId="8" borderId="1" xfId="0" applyFont="1" applyFill="1" applyBorder="1" applyAlignment="1">
      <alignment horizontal="center" vertical="top"/>
    </xf>
    <xf numFmtId="0" fontId="4" fillId="8" borderId="1" xfId="0" applyFont="1" applyFill="1" applyBorder="1" applyAlignment="1">
      <alignment horizontal="center"/>
    </xf>
    <xf numFmtId="0" fontId="4" fillId="8" borderId="3" xfId="0" applyFont="1" applyFill="1" applyBorder="1" applyAlignment="1">
      <alignment horizontal="center"/>
    </xf>
    <xf numFmtId="167" fontId="7" fillId="0" borderId="0" xfId="2" applyNumberFormat="1" applyFont="1" applyAlignment="1">
      <alignment wrapText="1"/>
    </xf>
    <xf numFmtId="0" fontId="5"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4" fillId="8" borderId="9" xfId="0" applyFont="1" applyFill="1" applyBorder="1" applyAlignment="1">
      <alignment horizontal="center" vertical="center"/>
    </xf>
    <xf numFmtId="0" fontId="6"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167" fontId="7" fillId="0" borderId="0" xfId="2" applyNumberFormat="1" applyFont="1" applyAlignment="1">
      <alignment horizontal="right"/>
    </xf>
    <xf numFmtId="9" fontId="0" fillId="0" borderId="0" xfId="0" applyNumberFormat="1" applyAlignment="1">
      <alignment wrapText="1"/>
    </xf>
    <xf numFmtId="166" fontId="7" fillId="0" borderId="0" xfId="0" applyNumberFormat="1" applyFont="1" applyAlignment="1">
      <alignment horizontal="right"/>
    </xf>
    <xf numFmtId="9" fontId="7" fillId="0" borderId="0" xfId="3" applyFont="1"/>
    <xf numFmtId="167" fontId="0" fillId="0" borderId="18" xfId="2" applyNumberFormat="1" applyFont="1" applyBorder="1"/>
    <xf numFmtId="167" fontId="7" fillId="0" borderId="12" xfId="2" applyNumberFormat="1" applyFont="1" applyBorder="1"/>
    <xf numFmtId="9" fontId="7" fillId="0" borderId="12" xfId="3" applyFont="1" applyBorder="1"/>
    <xf numFmtId="167" fontId="7" fillId="0" borderId="12" xfId="0" applyNumberFormat="1" applyFont="1" applyBorder="1"/>
    <xf numFmtId="167" fontId="7" fillId="0" borderId="19" xfId="0" applyNumberFormat="1" applyFont="1" applyBorder="1"/>
    <xf numFmtId="167" fontId="7" fillId="0" borderId="20" xfId="2" applyNumberFormat="1" applyFont="1" applyBorder="1"/>
    <xf numFmtId="0" fontId="7" fillId="0" borderId="20" xfId="0" applyFont="1" applyBorder="1"/>
    <xf numFmtId="0" fontId="7" fillId="0" borderId="21" xfId="0" applyFont="1" applyBorder="1"/>
    <xf numFmtId="167" fontId="0" fillId="0" borderId="23" xfId="2" applyNumberFormat="1" applyFont="1" applyBorder="1"/>
    <xf numFmtId="167" fontId="7" fillId="0" borderId="22" xfId="2" applyNumberFormat="1" applyFont="1" applyBorder="1" applyAlignment="1">
      <alignment horizontal="right"/>
    </xf>
    <xf numFmtId="167" fontId="7" fillId="0" borderId="24" xfId="2" applyNumberFormat="1" applyFont="1" applyBorder="1" applyAlignment="1">
      <alignment horizontal="right"/>
    </xf>
    <xf numFmtId="0" fontId="18" fillId="0" borderId="0" xfId="0" applyFont="1" applyAlignment="1">
      <alignment horizontal="center" vertical="center"/>
    </xf>
    <xf numFmtId="0" fontId="0" fillId="0" borderId="0" xfId="0" applyAlignment="1">
      <alignment vertical="top"/>
    </xf>
    <xf numFmtId="0" fontId="18" fillId="0" borderId="0" xfId="0" applyFont="1" applyAlignment="1">
      <alignment horizontal="left" vertical="center"/>
    </xf>
    <xf numFmtId="0" fontId="18" fillId="0" borderId="0" xfId="0" applyFont="1" applyAlignment="1">
      <alignment vertical="center"/>
    </xf>
    <xf numFmtId="0" fontId="0" fillId="0" borderId="0" xfId="0" applyAlignment="1">
      <alignment horizontal="left" vertical="top"/>
    </xf>
    <xf numFmtId="0" fontId="20" fillId="0" borderId="0" xfId="0" applyFont="1" applyAlignment="1">
      <alignment horizontal="left" vertical="center"/>
    </xf>
    <xf numFmtId="0" fontId="21" fillId="0" borderId="1" xfId="0" applyFont="1" applyBorder="1" applyAlignment="1">
      <alignment horizontal="center" vertical="top" wrapText="1"/>
    </xf>
    <xf numFmtId="0" fontId="21" fillId="0" borderId="1" xfId="0" applyFont="1" applyBorder="1" applyAlignment="1">
      <alignment horizontal="center" vertical="center" wrapText="1"/>
    </xf>
    <xf numFmtId="0" fontId="22" fillId="0" borderId="0" xfId="0" applyFont="1" applyFill="1" applyBorder="1" applyAlignment="1">
      <alignment horizontal="center" vertical="top" wrapText="1"/>
    </xf>
    <xf numFmtId="0" fontId="23" fillId="0" borderId="1" xfId="0" applyFont="1" applyBorder="1" applyAlignment="1">
      <alignment horizontal="center" vertical="top" wrapText="1"/>
    </xf>
    <xf numFmtId="0" fontId="24" fillId="0" borderId="1" xfId="0" applyFont="1" applyBorder="1" applyAlignment="1">
      <alignment horizontal="center" vertical="top" wrapText="1"/>
    </xf>
    <xf numFmtId="0" fontId="23" fillId="0" borderId="1" xfId="0" applyFont="1" applyBorder="1" applyAlignment="1">
      <alignment horizontal="center" vertical="center" wrapText="1"/>
    </xf>
    <xf numFmtId="0" fontId="18" fillId="0" borderId="1" xfId="0" applyFont="1" applyBorder="1" applyAlignment="1">
      <alignment horizontal="center" vertical="top" wrapText="1"/>
    </xf>
    <xf numFmtId="0" fontId="18" fillId="0" borderId="1" xfId="0" applyFont="1" applyBorder="1" applyAlignment="1">
      <alignment vertical="top" wrapText="1"/>
    </xf>
    <xf numFmtId="0" fontId="25" fillId="0" borderId="1" xfId="0" applyFont="1" applyBorder="1" applyAlignment="1">
      <alignment horizontal="center" vertical="center" wrapText="1"/>
    </xf>
    <xf numFmtId="2" fontId="25" fillId="0" borderId="1" xfId="0" applyNumberFormat="1" applyFont="1" applyBorder="1" applyAlignment="1">
      <alignment horizontal="center" vertical="center" wrapText="1"/>
    </xf>
    <xf numFmtId="2" fontId="9" fillId="0" borderId="0" xfId="0" applyNumberFormat="1" applyFont="1" applyAlignment="1">
      <alignment horizontal="center"/>
    </xf>
    <xf numFmtId="0" fontId="25" fillId="0" borderId="1" xfId="0" applyFont="1" applyBorder="1" applyAlignment="1">
      <alignment horizontal="center" vertical="top" wrapText="1"/>
    </xf>
    <xf numFmtId="0" fontId="26" fillId="0" borderId="1" xfId="0" applyFont="1" applyBorder="1" applyAlignment="1">
      <alignment horizontal="justify" vertical="top" wrapText="1"/>
    </xf>
    <xf numFmtId="0" fontId="27" fillId="0" borderId="1" xfId="0" applyFont="1" applyBorder="1" applyAlignment="1">
      <alignment horizontal="left" vertical="top" wrapText="1"/>
    </xf>
    <xf numFmtId="0" fontId="29" fillId="0" borderId="1" xfId="0" applyFont="1" applyBorder="1" applyAlignment="1">
      <alignment horizontal="center" vertical="center"/>
    </xf>
    <xf numFmtId="0" fontId="30" fillId="0" borderId="0" xfId="0" applyFont="1"/>
    <xf numFmtId="0" fontId="18" fillId="0" borderId="1" xfId="0" applyFont="1" applyBorder="1" applyAlignment="1">
      <alignment horizontal="left" vertical="center" wrapText="1"/>
    </xf>
    <xf numFmtId="0" fontId="18" fillId="0" borderId="1" xfId="0" applyFont="1" applyBorder="1"/>
    <xf numFmtId="2" fontId="9" fillId="0" borderId="0" xfId="0" applyNumberFormat="1" applyFont="1" applyAlignment="1">
      <alignment horizontal="center" vertical="center"/>
    </xf>
    <xf numFmtId="0" fontId="18" fillId="0" borderId="1" xfId="0" applyFont="1" applyBorder="1" applyAlignment="1">
      <alignment horizontal="center" vertical="center" wrapText="1"/>
    </xf>
    <xf numFmtId="2" fontId="9" fillId="0" borderId="0" xfId="0" applyNumberFormat="1" applyFont="1" applyBorder="1" applyAlignment="1">
      <alignment horizontal="center"/>
    </xf>
    <xf numFmtId="0" fontId="25" fillId="0" borderId="1" xfId="0" quotePrefix="1" applyFont="1" applyBorder="1" applyAlignment="1">
      <alignment horizontal="center" vertical="top" wrapText="1"/>
    </xf>
    <xf numFmtId="16" fontId="25" fillId="0" borderId="1" xfId="0" quotePrefix="1" applyNumberFormat="1" applyFont="1" applyBorder="1" applyAlignment="1">
      <alignment horizontal="center" vertical="top" wrapText="1"/>
    </xf>
    <xf numFmtId="4"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32" fillId="0" borderId="1" xfId="0" quotePrefix="1" applyFont="1" applyBorder="1" applyAlignment="1">
      <alignment horizontal="center" vertical="top" wrapText="1"/>
    </xf>
    <xf numFmtId="0" fontId="32" fillId="0" borderId="1" xfId="0" applyFont="1" applyBorder="1" applyAlignment="1">
      <alignment horizontal="left" vertical="top" wrapText="1"/>
    </xf>
    <xf numFmtId="2" fontId="14" fillId="0" borderId="1" xfId="0" applyNumberFormat="1" applyFont="1" applyBorder="1" applyAlignment="1">
      <alignment horizontal="center" vertical="top"/>
    </xf>
    <xf numFmtId="0" fontId="34" fillId="0" borderId="1" xfId="0" applyFont="1" applyBorder="1" applyAlignment="1">
      <alignment vertical="top"/>
    </xf>
    <xf numFmtId="0" fontId="33" fillId="0" borderId="0" xfId="0" applyFont="1" applyBorder="1" applyAlignment="1">
      <alignment horizontal="right" vertical="top"/>
    </xf>
    <xf numFmtId="2" fontId="14" fillId="0" borderId="0" xfId="0" applyNumberFormat="1" applyFont="1" applyBorder="1" applyAlignment="1">
      <alignment horizontal="center" vertical="top"/>
    </xf>
    <xf numFmtId="0" fontId="34" fillId="0" borderId="0" xfId="0" applyFont="1" applyBorder="1" applyAlignment="1">
      <alignment vertical="top"/>
    </xf>
    <xf numFmtId="0" fontId="25" fillId="0" borderId="0" xfId="0" applyFont="1" applyBorder="1" applyAlignment="1">
      <alignment horizontal="center" vertical="top" wrapText="1"/>
    </xf>
    <xf numFmtId="0" fontId="35" fillId="0" borderId="0" xfId="0" applyFont="1" applyBorder="1" applyAlignment="1">
      <alignment horizontal="justify" vertical="top" wrapText="1"/>
    </xf>
    <xf numFmtId="0" fontId="18" fillId="0" borderId="0" xfId="0" applyFont="1" applyBorder="1" applyAlignment="1">
      <alignment horizontal="center" vertical="top" wrapText="1"/>
    </xf>
    <xf numFmtId="0" fontId="25" fillId="0" borderId="0" xfId="0" applyFont="1" applyBorder="1" applyAlignment="1">
      <alignment vertical="center" wrapText="1"/>
    </xf>
    <xf numFmtId="0" fontId="25" fillId="0" borderId="1" xfId="0" applyFont="1" applyBorder="1" applyAlignment="1">
      <alignment vertical="center" wrapText="1"/>
    </xf>
    <xf numFmtId="0" fontId="17" fillId="0" borderId="1" xfId="0" applyFont="1" applyBorder="1" applyAlignment="1">
      <alignment vertical="center" wrapText="1"/>
    </xf>
    <xf numFmtId="17" fontId="25" fillId="0" borderId="1" xfId="0" quotePrefix="1" applyNumberFormat="1" applyFont="1" applyBorder="1" applyAlignment="1">
      <alignment vertical="top" wrapText="1"/>
    </xf>
    <xf numFmtId="0" fontId="36" fillId="5" borderId="1" xfId="0" applyFont="1" applyFill="1" applyBorder="1" applyAlignment="1">
      <alignment horizontal="center" vertical="center"/>
    </xf>
    <xf numFmtId="2" fontId="25" fillId="0" borderId="1" xfId="0" applyNumberFormat="1" applyFont="1" applyBorder="1" applyAlignment="1">
      <alignment horizontal="center" wrapText="1"/>
    </xf>
    <xf numFmtId="0" fontId="25" fillId="0" borderId="1" xfId="0" quotePrefix="1" applyFont="1" applyBorder="1" applyAlignment="1">
      <alignment vertical="top" wrapText="1"/>
    </xf>
    <xf numFmtId="0" fontId="23" fillId="0" borderId="0" xfId="0" applyFont="1" applyBorder="1" applyAlignment="1">
      <alignment horizontal="center" vertical="top" wrapText="1"/>
    </xf>
    <xf numFmtId="0" fontId="24" fillId="0" borderId="0" xfId="0" applyFont="1" applyBorder="1" applyAlignment="1">
      <alignment horizontal="center" vertical="top" wrapText="1"/>
    </xf>
    <xf numFmtId="0" fontId="23" fillId="0" borderId="0" xfId="0" applyFont="1" applyBorder="1" applyAlignment="1">
      <alignment horizontal="center" vertical="center" wrapText="1"/>
    </xf>
    <xf numFmtId="0" fontId="25" fillId="0" borderId="0" xfId="0" applyFont="1" applyAlignment="1">
      <alignment vertical="center"/>
    </xf>
    <xf numFmtId="0" fontId="18" fillId="0" borderId="0" xfId="0" applyFont="1" applyAlignment="1">
      <alignment vertical="top"/>
    </xf>
    <xf numFmtId="2" fontId="25" fillId="5" borderId="1" xfId="0" applyNumberFormat="1" applyFont="1" applyFill="1" applyBorder="1" applyAlignment="1">
      <alignment horizontal="center" vertical="center" wrapText="1"/>
    </xf>
    <xf numFmtId="2" fontId="31" fillId="5" borderId="1" xfId="0" applyNumberFormat="1" applyFont="1" applyFill="1" applyBorder="1" applyAlignment="1">
      <alignment horizontal="center" vertical="center"/>
    </xf>
    <xf numFmtId="2" fontId="9" fillId="5" borderId="1" xfId="0" applyNumberFormat="1" applyFont="1" applyFill="1" applyBorder="1" applyAlignment="1">
      <alignment horizontal="center" vertical="center"/>
    </xf>
    <xf numFmtId="0" fontId="7" fillId="0" borderId="8" xfId="0" applyFont="1" applyBorder="1" applyAlignment="1">
      <alignment horizontal="right"/>
    </xf>
    <xf numFmtId="0" fontId="0" fillId="0" borderId="8" xfId="0" applyBorder="1" applyAlignment="1">
      <alignment horizontal="right"/>
    </xf>
    <xf numFmtId="0" fontId="7" fillId="0" borderId="10" xfId="0" applyFont="1" applyBorder="1" applyAlignment="1">
      <alignment horizontal="right"/>
    </xf>
    <xf numFmtId="0" fontId="0" fillId="0" borderId="11" xfId="0" applyBorder="1" applyAlignment="1">
      <alignment horizontal="right"/>
    </xf>
    <xf numFmtId="0" fontId="21" fillId="0" borderId="0" xfId="0" applyFont="1" applyAlignment="1">
      <alignment horizontal="left" vertical="center" wrapText="1"/>
    </xf>
    <xf numFmtId="0" fontId="18" fillId="0" borderId="1" xfId="0" applyFont="1" applyBorder="1" applyAlignment="1">
      <alignment horizontal="center" vertical="center" wrapText="1"/>
    </xf>
    <xf numFmtId="0" fontId="33" fillId="0" borderId="1" xfId="0" applyFont="1" applyBorder="1" applyAlignment="1">
      <alignment horizontal="right" vertical="top"/>
    </xf>
    <xf numFmtId="0" fontId="18" fillId="0" borderId="0" xfId="0" applyFont="1" applyAlignment="1">
      <alignment horizontal="left" vertical="center"/>
    </xf>
    <xf numFmtId="0" fontId="0" fillId="0" borderId="0" xfId="0" applyAlignment="1">
      <alignment horizontal="center" vertical="top"/>
    </xf>
    <xf numFmtId="0" fontId="33" fillId="0" borderId="25" xfId="0" applyFont="1" applyBorder="1" applyAlignment="1">
      <alignment horizontal="right" vertical="top"/>
    </xf>
    <xf numFmtId="0" fontId="33" fillId="0" borderId="26" xfId="0" applyFont="1" applyBorder="1" applyAlignment="1">
      <alignment horizontal="right" vertical="top"/>
    </xf>
    <xf numFmtId="0" fontId="25" fillId="0" borderId="0" xfId="0" applyFont="1" applyAlignment="1">
      <alignment horizontal="left" vertical="center" wrapText="1"/>
    </xf>
    <xf numFmtId="0" fontId="25" fillId="0" borderId="0" xfId="0" applyFont="1" applyAlignment="1">
      <alignment horizontal="left" vertical="center"/>
    </xf>
    <xf numFmtId="0" fontId="17" fillId="0" borderId="0" xfId="0" applyFont="1" applyAlignment="1">
      <alignment horizontal="right" vertical="center"/>
    </xf>
    <xf numFmtId="0" fontId="18" fillId="0" borderId="0" xfId="0" applyFont="1" applyAlignment="1">
      <alignment horizontal="center" vertical="center"/>
    </xf>
    <xf numFmtId="0" fontId="18" fillId="9" borderId="0" xfId="0" applyFont="1" applyFill="1" applyAlignment="1">
      <alignment horizontal="center" vertical="center"/>
    </xf>
    <xf numFmtId="0" fontId="18" fillId="0" borderId="0" xfId="0" applyFont="1" applyAlignment="1">
      <alignment horizontal="left" vertical="center" wrapText="1"/>
    </xf>
  </cellXfs>
  <cellStyles count="5">
    <cellStyle name="Comma" xfId="2" builtinId="3"/>
    <cellStyle name="Normal" xfId="0" builtinId="0"/>
    <cellStyle name="Normal 2" xfId="4"/>
    <cellStyle name="Normal 6" xfId="1"/>
    <cellStyle name="Percent" xfId="3"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43"/>
  <sheetViews>
    <sheetView workbookViewId="0">
      <pane xSplit="2" ySplit="4" topLeftCell="C122" activePane="bottomRight" state="frozen"/>
      <selection pane="topRight" activeCell="C1" sqref="C1"/>
      <selection pane="bottomLeft" activeCell="A5" sqref="A5"/>
      <selection pane="bottomRight" activeCell="P134" sqref="P134"/>
    </sheetView>
  </sheetViews>
  <sheetFormatPr defaultRowHeight="15" x14ac:dyDescent="0.25"/>
  <cols>
    <col min="2" max="2" width="14.85546875" customWidth="1"/>
    <col min="3" max="3" width="43.28515625" bestFit="1" customWidth="1"/>
    <col min="4" max="4" width="20" bestFit="1" customWidth="1"/>
    <col min="6" max="6" width="12" style="63" bestFit="1" customWidth="1"/>
    <col min="7" max="7" width="8" style="59" bestFit="1" customWidth="1"/>
    <col min="8" max="8" width="9" style="59" bestFit="1" customWidth="1"/>
    <col min="9" max="9" width="5.28515625" bestFit="1" customWidth="1"/>
    <col min="10" max="10" width="12" customWidth="1"/>
    <col min="11" max="11" width="11.28515625" bestFit="1" customWidth="1"/>
    <col min="12" max="13" width="12" style="59" customWidth="1"/>
    <col min="14" max="15" width="12" customWidth="1"/>
    <col min="16" max="17" width="12.42578125" style="59" customWidth="1"/>
    <col min="18" max="18" width="12" customWidth="1"/>
  </cols>
  <sheetData>
    <row r="1" spans="1:19" x14ac:dyDescent="0.25">
      <c r="F1" s="76" t="s">
        <v>162</v>
      </c>
      <c r="G1" s="77"/>
      <c r="H1" s="77"/>
      <c r="I1" s="78"/>
      <c r="J1" s="78"/>
      <c r="K1" s="78"/>
      <c r="L1" s="82" t="s">
        <v>161</v>
      </c>
      <c r="M1" s="83"/>
      <c r="N1" t="s">
        <v>165</v>
      </c>
    </row>
    <row r="2" spans="1:19" x14ac:dyDescent="0.25">
      <c r="B2" s="7" t="s">
        <v>49</v>
      </c>
      <c r="C2" s="7"/>
      <c r="J2" t="s">
        <v>179</v>
      </c>
      <c r="K2" s="104">
        <v>0.05</v>
      </c>
      <c r="L2" s="83"/>
      <c r="M2" s="83"/>
      <c r="N2" s="84">
        <v>5.9000000000000003E-4</v>
      </c>
      <c r="P2" s="59" t="s">
        <v>169</v>
      </c>
      <c r="Q2" s="59" t="s">
        <v>170</v>
      </c>
    </row>
    <row r="3" spans="1:19" ht="45" x14ac:dyDescent="0.25">
      <c r="A3" s="17" t="s">
        <v>52</v>
      </c>
      <c r="B3" s="1" t="s">
        <v>46</v>
      </c>
      <c r="C3" s="1" t="s">
        <v>47</v>
      </c>
      <c r="D3" s="1" t="s">
        <v>48</v>
      </c>
      <c r="E3" s="1" t="s">
        <v>72</v>
      </c>
      <c r="F3" s="63" t="s">
        <v>156</v>
      </c>
      <c r="G3" s="59" t="s">
        <v>155</v>
      </c>
      <c r="H3" s="59" t="s">
        <v>157</v>
      </c>
      <c r="I3" t="s">
        <v>158</v>
      </c>
      <c r="J3" t="s">
        <v>160</v>
      </c>
      <c r="K3" t="s">
        <v>159</v>
      </c>
      <c r="L3" s="82" t="s">
        <v>155</v>
      </c>
      <c r="M3" s="82" t="s">
        <v>159</v>
      </c>
      <c r="N3" s="61" t="s">
        <v>164</v>
      </c>
      <c r="O3" s="86" t="s">
        <v>166</v>
      </c>
      <c r="P3" s="97" t="s">
        <v>168</v>
      </c>
      <c r="Q3" s="97" t="s">
        <v>171</v>
      </c>
    </row>
    <row r="4" spans="1:19" s="70" customFormat="1" x14ac:dyDescent="0.25">
      <c r="A4" s="17">
        <v>36</v>
      </c>
      <c r="B4" s="1"/>
      <c r="C4" s="1" t="s">
        <v>161</v>
      </c>
      <c r="D4" s="1"/>
      <c r="E4" s="1"/>
      <c r="F4" s="68"/>
      <c r="G4" s="72">
        <f>SUM(G6:G36)</f>
        <v>81715.269999999975</v>
      </c>
      <c r="H4" s="72">
        <f>SUM(H6:H36)</f>
        <v>109335.07999999999</v>
      </c>
      <c r="J4" s="72">
        <f>SUM(J6:J36)</f>
        <v>42700.49</v>
      </c>
      <c r="K4" s="74">
        <f>SUM(K5:K36)</f>
        <v>47541.443800000001</v>
      </c>
      <c r="L4" s="73">
        <f>SUM(L6:L36)</f>
        <v>43270.92</v>
      </c>
      <c r="M4" s="73">
        <f>SUM(M5:M36)</f>
        <v>48548.6538</v>
      </c>
      <c r="N4" s="79">
        <f>-PV($N$2,A4,M4/A4)</f>
        <v>48022.682753193498</v>
      </c>
      <c r="O4" s="79">
        <f>ROUND(N4/A4,0)</f>
        <v>1334</v>
      </c>
      <c r="P4" s="69"/>
      <c r="Q4" s="69"/>
    </row>
    <row r="5" spans="1:19" ht="28.5" x14ac:dyDescent="0.25">
      <c r="A5" s="75"/>
      <c r="B5" s="54"/>
      <c r="C5" s="55" t="s">
        <v>0</v>
      </c>
      <c r="D5" s="55" t="s">
        <v>1</v>
      </c>
      <c r="E5" s="56">
        <v>1</v>
      </c>
      <c r="K5" s="66">
        <f>SUM(G5:G20)*(1+K2)*20%</f>
        <v>9580.7837999999992</v>
      </c>
      <c r="M5" s="81">
        <f>SUM(G5:G20)*1.05*20%</f>
        <v>9580.7837999999992</v>
      </c>
      <c r="N5" s="58"/>
      <c r="O5" s="58"/>
    </row>
    <row r="6" spans="1:19" x14ac:dyDescent="0.25">
      <c r="A6" s="75"/>
      <c r="B6" s="2" t="s">
        <v>2</v>
      </c>
      <c r="C6" s="2" t="s">
        <v>3</v>
      </c>
      <c r="D6" s="2" t="s">
        <v>4</v>
      </c>
      <c r="E6" s="19">
        <v>1</v>
      </c>
      <c r="F6" s="63" t="s">
        <v>143</v>
      </c>
      <c r="G6" s="59">
        <v>564.76</v>
      </c>
      <c r="H6" s="59">
        <v>868.86</v>
      </c>
      <c r="I6" s="60">
        <f>(H6-G6)/H6</f>
        <v>0.34999884906659301</v>
      </c>
      <c r="J6" s="59">
        <v>0</v>
      </c>
      <c r="K6" s="59"/>
      <c r="L6" s="81">
        <f>E6*J6</f>
        <v>0</v>
      </c>
      <c r="M6" s="59">
        <f>K6*E6</f>
        <v>0</v>
      </c>
      <c r="N6" s="58"/>
      <c r="O6" s="58"/>
      <c r="P6" s="59">
        <f>L6</f>
        <v>0</v>
      </c>
      <c r="Q6" s="59">
        <v>0</v>
      </c>
      <c r="R6" s="60"/>
    </row>
    <row r="7" spans="1:19" x14ac:dyDescent="0.25">
      <c r="A7" s="75"/>
      <c r="B7" s="2" t="s">
        <v>5</v>
      </c>
      <c r="C7" s="2" t="s">
        <v>6</v>
      </c>
      <c r="D7" s="2" t="s">
        <v>7</v>
      </c>
      <c r="E7" s="19">
        <v>1</v>
      </c>
      <c r="F7" s="63" t="s">
        <v>144</v>
      </c>
      <c r="G7" s="59">
        <v>122.01</v>
      </c>
      <c r="H7" s="59">
        <v>289.62</v>
      </c>
      <c r="I7" s="60">
        <f t="shared" ref="I7:I20" si="0">(H7-G7)/H7</f>
        <v>0.57872384503832608</v>
      </c>
      <c r="J7" s="59">
        <v>0</v>
      </c>
      <c r="K7" s="59"/>
      <c r="L7" s="81">
        <f t="shared" ref="L7:L20" si="1">E7*J7</f>
        <v>0</v>
      </c>
      <c r="M7" s="59">
        <f t="shared" ref="M7:M20" si="2">K7*E7</f>
        <v>0</v>
      </c>
      <c r="N7" s="58"/>
      <c r="O7" s="58"/>
      <c r="P7" s="59">
        <f t="shared" ref="P7:P8" si="3">L7</f>
        <v>0</v>
      </c>
      <c r="Q7" s="59">
        <v>0</v>
      </c>
      <c r="R7" s="60"/>
    </row>
    <row r="8" spans="1:19" x14ac:dyDescent="0.25">
      <c r="A8" s="75"/>
      <c r="B8" s="2" t="s">
        <v>8</v>
      </c>
      <c r="C8" s="2" t="s">
        <v>9</v>
      </c>
      <c r="D8" s="2" t="s">
        <v>10</v>
      </c>
      <c r="E8" s="19">
        <v>1</v>
      </c>
      <c r="F8" s="63" t="s">
        <v>145</v>
      </c>
      <c r="G8" s="59">
        <v>327.9</v>
      </c>
      <c r="H8" s="59">
        <v>434.43</v>
      </c>
      <c r="I8" s="60">
        <f t="shared" si="0"/>
        <v>0.24521787169394385</v>
      </c>
      <c r="J8" s="59">
        <v>0</v>
      </c>
      <c r="K8" s="59"/>
      <c r="L8" s="81">
        <f t="shared" si="1"/>
        <v>0</v>
      </c>
      <c r="M8" s="59">
        <f t="shared" si="2"/>
        <v>0</v>
      </c>
      <c r="N8" s="58"/>
      <c r="O8" s="58"/>
      <c r="P8" s="59">
        <f t="shared" si="3"/>
        <v>0</v>
      </c>
      <c r="Q8" s="59">
        <v>0</v>
      </c>
      <c r="R8" s="60"/>
    </row>
    <row r="9" spans="1:19" x14ac:dyDescent="0.25">
      <c r="A9" s="75"/>
      <c r="B9" s="88" t="s">
        <v>11</v>
      </c>
      <c r="C9" s="88" t="s">
        <v>12</v>
      </c>
      <c r="D9" s="88">
        <v>11927</v>
      </c>
      <c r="E9" s="89">
        <v>1</v>
      </c>
      <c r="F9" s="62" t="s">
        <v>139</v>
      </c>
      <c r="G9" s="59">
        <v>26125</v>
      </c>
      <c r="H9" s="59">
        <v>34485</v>
      </c>
      <c r="I9" s="60">
        <f t="shared" si="0"/>
        <v>0.24242424242424243</v>
      </c>
      <c r="J9" s="59">
        <v>6608</v>
      </c>
      <c r="K9" s="59"/>
      <c r="L9" s="81">
        <f t="shared" si="1"/>
        <v>6608</v>
      </c>
      <c r="M9" s="59">
        <f t="shared" si="2"/>
        <v>0</v>
      </c>
      <c r="N9" s="58"/>
      <c r="O9" s="58"/>
      <c r="P9" s="81">
        <f>G9/36</f>
        <v>725.69444444444446</v>
      </c>
      <c r="Q9" s="59">
        <v>0</v>
      </c>
      <c r="R9" s="60"/>
      <c r="S9" s="66"/>
    </row>
    <row r="10" spans="1:19" x14ac:dyDescent="0.25">
      <c r="A10" s="75"/>
      <c r="B10" s="2" t="s">
        <v>13</v>
      </c>
      <c r="C10" s="2" t="s">
        <v>14</v>
      </c>
      <c r="D10" s="2" t="s">
        <v>15</v>
      </c>
      <c r="E10" s="19">
        <v>1</v>
      </c>
      <c r="F10" s="62" t="s">
        <v>146</v>
      </c>
      <c r="G10" s="59">
        <v>2062.5</v>
      </c>
      <c r="H10" s="59">
        <v>2949.38</v>
      </c>
      <c r="I10" s="60">
        <f t="shared" si="0"/>
        <v>0.30070048620388018</v>
      </c>
      <c r="J10" s="59">
        <v>0</v>
      </c>
      <c r="K10" s="59"/>
      <c r="L10" s="81">
        <f t="shared" si="1"/>
        <v>0</v>
      </c>
      <c r="M10" s="59">
        <f t="shared" si="2"/>
        <v>0</v>
      </c>
      <c r="N10" s="58"/>
      <c r="O10" s="58"/>
      <c r="P10" s="59">
        <f t="shared" ref="P10:P20" si="4">L10</f>
        <v>0</v>
      </c>
      <c r="Q10" s="59">
        <v>0</v>
      </c>
      <c r="R10" s="60"/>
    </row>
    <row r="11" spans="1:19" x14ac:dyDescent="0.25">
      <c r="A11" s="75"/>
      <c r="B11" s="2" t="s">
        <v>16</v>
      </c>
      <c r="C11" s="2" t="s">
        <v>17</v>
      </c>
      <c r="D11" s="2" t="s">
        <v>18</v>
      </c>
      <c r="E11" s="19">
        <v>1</v>
      </c>
      <c r="F11" s="62" t="s">
        <v>131</v>
      </c>
      <c r="G11" s="59">
        <v>206.25</v>
      </c>
      <c r="H11" s="59">
        <v>295.89999999999998</v>
      </c>
      <c r="I11" s="60">
        <f t="shared" si="0"/>
        <v>0.30297397769516721</v>
      </c>
      <c r="J11" s="59">
        <v>0</v>
      </c>
      <c r="K11" s="59"/>
      <c r="L11" s="81">
        <f t="shared" si="1"/>
        <v>0</v>
      </c>
      <c r="M11" s="59">
        <f t="shared" si="2"/>
        <v>0</v>
      </c>
      <c r="N11" s="58"/>
      <c r="O11" s="58"/>
      <c r="P11" s="59">
        <f t="shared" si="4"/>
        <v>0</v>
      </c>
      <c r="Q11" s="59">
        <v>0</v>
      </c>
      <c r="R11" s="60"/>
    </row>
    <row r="12" spans="1:19" x14ac:dyDescent="0.25">
      <c r="A12" s="75"/>
      <c r="B12" s="2" t="s">
        <v>19</v>
      </c>
      <c r="C12" s="2" t="s">
        <v>20</v>
      </c>
      <c r="D12" s="2" t="s">
        <v>21</v>
      </c>
      <c r="E12" s="19">
        <v>1</v>
      </c>
      <c r="F12" s="62" t="s">
        <v>132</v>
      </c>
      <c r="G12" s="59">
        <v>940</v>
      </c>
      <c r="H12" s="59">
        <v>1343.1</v>
      </c>
      <c r="I12" s="60">
        <f t="shared" si="0"/>
        <v>0.30012657285384553</v>
      </c>
      <c r="J12" s="59">
        <v>0</v>
      </c>
      <c r="K12" s="59"/>
      <c r="L12" s="81">
        <f t="shared" si="1"/>
        <v>0</v>
      </c>
      <c r="M12" s="59">
        <f t="shared" si="2"/>
        <v>0</v>
      </c>
      <c r="N12" s="58"/>
      <c r="O12" s="58"/>
      <c r="P12" s="59">
        <f t="shared" si="4"/>
        <v>0</v>
      </c>
      <c r="Q12" s="59">
        <v>0</v>
      </c>
      <c r="R12" s="60"/>
    </row>
    <row r="13" spans="1:19" x14ac:dyDescent="0.25">
      <c r="A13" s="75"/>
      <c r="B13" s="2" t="s">
        <v>22</v>
      </c>
      <c r="C13" s="2" t="s">
        <v>23</v>
      </c>
      <c r="D13" s="2">
        <v>11404</v>
      </c>
      <c r="E13" s="19">
        <v>1</v>
      </c>
      <c r="F13" s="62" t="s">
        <v>147</v>
      </c>
      <c r="G13" s="59">
        <v>2062.5</v>
      </c>
      <c r="H13" s="59">
        <v>2949.38</v>
      </c>
      <c r="I13" s="60">
        <f t="shared" si="0"/>
        <v>0.30070048620388018</v>
      </c>
      <c r="J13" s="59">
        <v>0</v>
      </c>
      <c r="K13" s="59"/>
      <c r="L13" s="81">
        <f t="shared" si="1"/>
        <v>0</v>
      </c>
      <c r="M13" s="59">
        <f t="shared" si="2"/>
        <v>0</v>
      </c>
      <c r="N13" s="58"/>
      <c r="O13" s="58"/>
      <c r="P13" s="59">
        <f t="shared" si="4"/>
        <v>0</v>
      </c>
      <c r="Q13" s="59">
        <v>0</v>
      </c>
      <c r="R13" s="60"/>
    </row>
    <row r="14" spans="1:19" x14ac:dyDescent="0.25">
      <c r="A14" s="75"/>
      <c r="B14" s="2" t="s">
        <v>24</v>
      </c>
      <c r="C14" s="2" t="s">
        <v>25</v>
      </c>
      <c r="D14" s="2"/>
      <c r="E14" s="19">
        <v>1</v>
      </c>
      <c r="F14" s="62" t="s">
        <v>148</v>
      </c>
      <c r="G14" s="59">
        <v>21.48</v>
      </c>
      <c r="H14" s="59">
        <v>18.2</v>
      </c>
      <c r="I14" s="60">
        <f t="shared" si="0"/>
        <v>-0.1802197802197803</v>
      </c>
      <c r="J14" s="59">
        <v>0</v>
      </c>
      <c r="K14" s="59"/>
      <c r="L14" s="81">
        <f t="shared" si="1"/>
        <v>0</v>
      </c>
      <c r="M14" s="59">
        <f t="shared" si="2"/>
        <v>0</v>
      </c>
      <c r="N14" s="58"/>
      <c r="O14" s="58"/>
      <c r="P14" s="59">
        <f t="shared" si="4"/>
        <v>0</v>
      </c>
      <c r="Q14" s="59">
        <v>0</v>
      </c>
      <c r="R14" s="60"/>
    </row>
    <row r="15" spans="1:19" x14ac:dyDescent="0.25">
      <c r="A15" s="75"/>
      <c r="B15" s="88" t="s">
        <v>26</v>
      </c>
      <c r="C15" s="88" t="s">
        <v>27</v>
      </c>
      <c r="D15" s="88">
        <v>189</v>
      </c>
      <c r="E15" s="89">
        <v>1</v>
      </c>
      <c r="F15" s="62" t="s">
        <v>133</v>
      </c>
      <c r="G15" s="59">
        <v>4812.5</v>
      </c>
      <c r="H15" s="59">
        <v>6088.5</v>
      </c>
      <c r="I15" s="60">
        <f t="shared" si="0"/>
        <v>0.20957542908762422</v>
      </c>
      <c r="J15" s="59">
        <v>0</v>
      </c>
      <c r="K15" s="59"/>
      <c r="L15" s="81">
        <f t="shared" si="1"/>
        <v>0</v>
      </c>
      <c r="M15" s="59">
        <f t="shared" si="2"/>
        <v>0</v>
      </c>
      <c r="N15" s="58"/>
      <c r="O15" s="58"/>
      <c r="P15" s="59">
        <f t="shared" si="4"/>
        <v>0</v>
      </c>
      <c r="Q15" s="59">
        <v>0</v>
      </c>
      <c r="R15" s="60"/>
    </row>
    <row r="16" spans="1:19" x14ac:dyDescent="0.25">
      <c r="A16" s="75"/>
      <c r="B16" s="88" t="s">
        <v>28</v>
      </c>
      <c r="C16" s="88" t="s">
        <v>29</v>
      </c>
      <c r="D16" s="88">
        <v>116</v>
      </c>
      <c r="E16" s="89">
        <v>1</v>
      </c>
      <c r="F16" s="62" t="s">
        <v>134</v>
      </c>
      <c r="G16" s="59">
        <v>5500</v>
      </c>
      <c r="H16" s="59">
        <v>6957.5</v>
      </c>
      <c r="I16" s="60">
        <f t="shared" si="0"/>
        <v>0.20948616600790515</v>
      </c>
      <c r="J16" s="59">
        <v>0</v>
      </c>
      <c r="K16" s="59"/>
      <c r="L16" s="81">
        <f t="shared" si="1"/>
        <v>0</v>
      </c>
      <c r="M16" s="59">
        <f t="shared" si="2"/>
        <v>0</v>
      </c>
      <c r="N16" s="58"/>
      <c r="O16" s="58"/>
      <c r="P16" s="59">
        <f t="shared" si="4"/>
        <v>0</v>
      </c>
      <c r="Q16" s="59">
        <v>0</v>
      </c>
      <c r="R16" s="60"/>
    </row>
    <row r="17" spans="1:18" x14ac:dyDescent="0.25">
      <c r="A17" s="75"/>
      <c r="B17" s="2" t="s">
        <v>30</v>
      </c>
      <c r="C17" s="2" t="s">
        <v>31</v>
      </c>
      <c r="D17" s="2" t="s">
        <v>32</v>
      </c>
      <c r="E17" s="19">
        <v>1</v>
      </c>
      <c r="F17" s="62" t="s">
        <v>135</v>
      </c>
      <c r="G17" s="59">
        <v>1787.5</v>
      </c>
      <c r="H17" s="59">
        <v>2530</v>
      </c>
      <c r="I17" s="60">
        <f t="shared" si="0"/>
        <v>0.29347826086956524</v>
      </c>
      <c r="J17" s="59">
        <v>0</v>
      </c>
      <c r="K17" s="59"/>
      <c r="L17" s="81">
        <f t="shared" si="1"/>
        <v>0</v>
      </c>
      <c r="M17" s="59">
        <f t="shared" si="2"/>
        <v>0</v>
      </c>
      <c r="N17" s="58"/>
      <c r="O17" s="58"/>
      <c r="P17" s="59">
        <f t="shared" si="4"/>
        <v>0</v>
      </c>
      <c r="Q17" s="59">
        <v>0</v>
      </c>
      <c r="R17" s="60"/>
    </row>
    <row r="18" spans="1:18" x14ac:dyDescent="0.25">
      <c r="A18" s="75"/>
      <c r="B18" s="2" t="s">
        <v>33</v>
      </c>
      <c r="C18" s="2" t="s">
        <v>34</v>
      </c>
      <c r="D18" s="2">
        <v>1114021320</v>
      </c>
      <c r="E18" s="19">
        <v>1</v>
      </c>
      <c r="F18" s="62" t="s">
        <v>136</v>
      </c>
      <c r="G18" s="59">
        <v>721.88</v>
      </c>
      <c r="H18" s="59">
        <v>874.5</v>
      </c>
      <c r="I18" s="60">
        <f t="shared" si="0"/>
        <v>0.17452258433390511</v>
      </c>
      <c r="J18" s="59">
        <v>0</v>
      </c>
      <c r="K18" s="59"/>
      <c r="L18" s="81">
        <f t="shared" si="1"/>
        <v>0</v>
      </c>
      <c r="M18" s="59">
        <f t="shared" si="2"/>
        <v>0</v>
      </c>
      <c r="N18" s="58"/>
      <c r="O18" s="58"/>
      <c r="P18" s="59">
        <f t="shared" si="4"/>
        <v>0</v>
      </c>
      <c r="Q18" s="59">
        <v>0</v>
      </c>
      <c r="R18" s="60"/>
    </row>
    <row r="19" spans="1:18" x14ac:dyDescent="0.25">
      <c r="A19" s="75"/>
      <c r="B19" s="2" t="s">
        <v>35</v>
      </c>
      <c r="C19" s="2" t="s">
        <v>36</v>
      </c>
      <c r="D19" s="2"/>
      <c r="E19" s="19">
        <v>1</v>
      </c>
      <c r="F19" s="62" t="s">
        <v>137</v>
      </c>
      <c r="G19" s="59">
        <v>343.75</v>
      </c>
      <c r="H19" s="59">
        <v>491.7</v>
      </c>
      <c r="I19" s="60">
        <f t="shared" si="0"/>
        <v>0.30089485458612975</v>
      </c>
      <c r="J19" s="59">
        <v>0</v>
      </c>
      <c r="K19" s="59"/>
      <c r="L19" s="81">
        <f t="shared" si="1"/>
        <v>0</v>
      </c>
      <c r="M19" s="59">
        <f t="shared" si="2"/>
        <v>0</v>
      </c>
      <c r="N19" s="58"/>
      <c r="O19" s="58"/>
      <c r="P19" s="59">
        <f t="shared" si="4"/>
        <v>0</v>
      </c>
      <c r="Q19" s="59">
        <v>0</v>
      </c>
      <c r="R19" s="60"/>
    </row>
    <row r="20" spans="1:18" x14ac:dyDescent="0.25">
      <c r="A20" s="75"/>
      <c r="B20" s="2" t="s">
        <v>37</v>
      </c>
      <c r="C20" s="2" t="s">
        <v>38</v>
      </c>
      <c r="D20" s="2"/>
      <c r="E20" s="19">
        <v>1</v>
      </c>
      <c r="F20" s="62" t="s">
        <v>138</v>
      </c>
      <c r="G20" s="59">
        <v>24.75</v>
      </c>
      <c r="H20" s="59">
        <v>36.299999999999997</v>
      </c>
      <c r="I20" s="60">
        <f t="shared" si="0"/>
        <v>0.31818181818181812</v>
      </c>
      <c r="J20" s="59">
        <v>0</v>
      </c>
      <c r="K20" s="59"/>
      <c r="L20" s="81">
        <f t="shared" si="1"/>
        <v>0</v>
      </c>
      <c r="M20" s="59">
        <f t="shared" si="2"/>
        <v>0</v>
      </c>
      <c r="N20" s="58"/>
      <c r="O20" s="58"/>
      <c r="P20" s="59">
        <f t="shared" si="4"/>
        <v>0</v>
      </c>
      <c r="Q20" s="59">
        <v>0</v>
      </c>
      <c r="R20" s="60"/>
    </row>
    <row r="21" spans="1:18" x14ac:dyDescent="0.25">
      <c r="B21" s="6"/>
      <c r="C21" s="22" t="s">
        <v>50</v>
      </c>
      <c r="D21" s="6"/>
      <c r="E21" s="6"/>
      <c r="J21" s="59"/>
      <c r="K21" s="59"/>
      <c r="N21" s="58"/>
      <c r="O21" s="58"/>
    </row>
    <row r="22" spans="1:18" s="70" customFormat="1" x14ac:dyDescent="0.25">
      <c r="B22" s="71"/>
      <c r="C22" s="22" t="s">
        <v>161</v>
      </c>
      <c r="D22" s="71"/>
      <c r="E22" s="71"/>
      <c r="F22" s="68"/>
      <c r="G22" s="69"/>
      <c r="H22" s="69"/>
      <c r="J22" s="69"/>
      <c r="K22" s="69"/>
      <c r="L22" s="69"/>
      <c r="M22" s="69"/>
      <c r="N22" s="79"/>
      <c r="O22" s="79"/>
      <c r="P22" s="69"/>
      <c r="Q22" s="69"/>
    </row>
    <row r="23" spans="1:18" x14ac:dyDescent="0.25">
      <c r="B23" s="93" t="s">
        <v>39</v>
      </c>
      <c r="C23" s="94" t="s">
        <v>12</v>
      </c>
      <c r="D23" s="92"/>
      <c r="E23" s="89">
        <v>1</v>
      </c>
      <c r="F23" s="62" t="s">
        <v>139</v>
      </c>
      <c r="G23" s="59">
        <v>26125</v>
      </c>
      <c r="H23" s="59">
        <v>34485</v>
      </c>
      <c r="I23" s="60">
        <f t="shared" ref="I23:I26" si="5">(H23-G23)/H23</f>
        <v>0.24242424242424243</v>
      </c>
      <c r="J23" s="59">
        <f>G23</f>
        <v>26125</v>
      </c>
      <c r="K23" s="59">
        <f>G23*(1+$K$2)</f>
        <v>27431.25</v>
      </c>
      <c r="L23" s="81">
        <f t="shared" ref="L23:L36" si="6">E23*G23</f>
        <v>26125</v>
      </c>
      <c r="M23" s="59">
        <f t="shared" ref="M23:M26" si="7">K23*E23</f>
        <v>27431.25</v>
      </c>
      <c r="N23" s="58"/>
      <c r="O23" s="58"/>
      <c r="P23" s="59">
        <f>L23/$A$4</f>
        <v>725.69444444444446</v>
      </c>
      <c r="Q23" s="59">
        <f>P23</f>
        <v>725.69444444444446</v>
      </c>
    </row>
    <row r="24" spans="1:18" x14ac:dyDescent="0.25">
      <c r="B24" s="3" t="s">
        <v>40</v>
      </c>
      <c r="C24" s="5" t="s">
        <v>41</v>
      </c>
      <c r="D24" s="4"/>
      <c r="E24" s="19">
        <v>1</v>
      </c>
      <c r="F24" s="62">
        <v>6509932001</v>
      </c>
      <c r="G24" s="59">
        <v>1375</v>
      </c>
      <c r="H24" s="59">
        <v>1969</v>
      </c>
      <c r="I24" s="60">
        <f t="shared" si="5"/>
        <v>0.3016759776536313</v>
      </c>
      <c r="J24" s="59">
        <f t="shared" ref="J24:J26" si="8">G24</f>
        <v>1375</v>
      </c>
      <c r="K24" s="59">
        <f t="shared" ref="K24:K26" si="9">G24*(1+$K$2)</f>
        <v>1443.75</v>
      </c>
      <c r="L24" s="81">
        <f t="shared" si="6"/>
        <v>1375</v>
      </c>
      <c r="M24" s="59">
        <f t="shared" si="7"/>
        <v>1443.75</v>
      </c>
      <c r="N24" s="58"/>
      <c r="O24" s="58"/>
      <c r="P24" s="59">
        <f>L24</f>
        <v>1375</v>
      </c>
      <c r="Q24" s="59">
        <v>0</v>
      </c>
      <c r="R24" s="60"/>
    </row>
    <row r="25" spans="1:18" x14ac:dyDescent="0.25">
      <c r="B25" s="90" t="s">
        <v>42</v>
      </c>
      <c r="C25" s="91" t="s">
        <v>43</v>
      </c>
      <c r="D25" s="92"/>
      <c r="E25" s="89">
        <v>1</v>
      </c>
      <c r="F25" s="62" t="s">
        <v>140</v>
      </c>
      <c r="G25" s="59">
        <v>7000</v>
      </c>
      <c r="H25" s="59">
        <v>10010</v>
      </c>
      <c r="I25" s="60">
        <f t="shared" si="5"/>
        <v>0.30069930069930068</v>
      </c>
      <c r="J25" s="59">
        <f t="shared" si="8"/>
        <v>7000</v>
      </c>
      <c r="K25" s="59">
        <f t="shared" si="9"/>
        <v>7350</v>
      </c>
      <c r="L25" s="81">
        <f t="shared" si="6"/>
        <v>7000</v>
      </c>
      <c r="M25" s="59">
        <f t="shared" si="7"/>
        <v>7350</v>
      </c>
      <c r="N25" s="58"/>
      <c r="O25" s="58"/>
      <c r="P25" s="59">
        <f>L25/$A$4</f>
        <v>194.44444444444446</v>
      </c>
      <c r="Q25" s="59">
        <f>P25</f>
        <v>194.44444444444446</v>
      </c>
      <c r="R25" s="60"/>
    </row>
    <row r="26" spans="1:18" x14ac:dyDescent="0.25">
      <c r="B26" s="30" t="s">
        <v>44</v>
      </c>
      <c r="C26" s="31" t="s">
        <v>45</v>
      </c>
      <c r="D26" s="8"/>
      <c r="E26" s="20">
        <v>1</v>
      </c>
      <c r="F26" s="62" t="s">
        <v>141</v>
      </c>
      <c r="G26" s="59">
        <v>1375</v>
      </c>
      <c r="H26" s="59">
        <v>1966.8</v>
      </c>
      <c r="I26" s="60">
        <f t="shared" si="5"/>
        <v>0.30089485458612975</v>
      </c>
      <c r="J26" s="59">
        <f t="shared" si="8"/>
        <v>1375</v>
      </c>
      <c r="K26" s="59">
        <f t="shared" si="9"/>
        <v>1443.75</v>
      </c>
      <c r="L26" s="81">
        <f t="shared" si="6"/>
        <v>1375</v>
      </c>
      <c r="M26" s="59">
        <f t="shared" si="7"/>
        <v>1443.75</v>
      </c>
      <c r="N26" s="58"/>
      <c r="O26" s="58"/>
      <c r="P26" s="59">
        <f>L26</f>
        <v>1375</v>
      </c>
      <c r="Q26" s="59">
        <v>0</v>
      </c>
      <c r="R26" s="60"/>
    </row>
    <row r="27" spans="1:18" x14ac:dyDescent="0.25">
      <c r="B27" s="36"/>
      <c r="C27" s="50" t="s">
        <v>114</v>
      </c>
      <c r="D27" s="37"/>
      <c r="E27" s="45"/>
      <c r="J27" s="59"/>
      <c r="K27" s="59"/>
      <c r="N27" s="58"/>
      <c r="O27" s="58"/>
    </row>
    <row r="28" spans="1:18" x14ac:dyDescent="0.25">
      <c r="B28" s="33" t="s">
        <v>106</v>
      </c>
      <c r="C28" s="34" t="s">
        <v>98</v>
      </c>
      <c r="D28" s="35"/>
      <c r="E28" s="38">
        <v>6</v>
      </c>
      <c r="F28" s="62" t="str">
        <f>B28</f>
        <v>05014468001</v>
      </c>
      <c r="G28" s="59">
        <v>2.3199999999999998</v>
      </c>
      <c r="H28" s="59">
        <v>3.02</v>
      </c>
      <c r="I28" s="60">
        <f t="shared" ref="I28:I36" si="10">(H28-G28)/H28</f>
        <v>0.23178807947019872</v>
      </c>
      <c r="J28" s="59">
        <f t="shared" ref="J28:J36" si="11">G28</f>
        <v>2.3199999999999998</v>
      </c>
      <c r="K28" s="59">
        <f t="shared" ref="K28:K34" si="12">H28</f>
        <v>3.02</v>
      </c>
      <c r="L28" s="81">
        <f t="shared" si="6"/>
        <v>13.919999999999998</v>
      </c>
      <c r="M28" s="59">
        <f t="shared" ref="M28:M36" si="13">K28*E28</f>
        <v>18.12</v>
      </c>
      <c r="N28" s="58"/>
      <c r="O28" s="58"/>
      <c r="P28" s="59">
        <f>L28</f>
        <v>13.919999999999998</v>
      </c>
      <c r="Q28" s="59">
        <f>P28</f>
        <v>13.919999999999998</v>
      </c>
      <c r="R28" s="60"/>
    </row>
    <row r="29" spans="1:18" x14ac:dyDescent="0.25">
      <c r="B29" s="33" t="s">
        <v>107</v>
      </c>
      <c r="C29" s="34" t="s">
        <v>99</v>
      </c>
      <c r="D29" s="35"/>
      <c r="E29" s="38">
        <v>2</v>
      </c>
      <c r="F29" s="62" t="str">
        <f t="shared" ref="F29:F36" si="14">B29</f>
        <v>06572227001</v>
      </c>
      <c r="G29" s="59">
        <v>124.26</v>
      </c>
      <c r="H29" s="59">
        <v>161.54</v>
      </c>
      <c r="I29" s="60">
        <f t="shared" si="10"/>
        <v>0.23077875448805243</v>
      </c>
      <c r="J29" s="59">
        <f t="shared" si="11"/>
        <v>124.26</v>
      </c>
      <c r="K29" s="59">
        <f t="shared" si="12"/>
        <v>161.54</v>
      </c>
      <c r="L29" s="81">
        <f t="shared" si="6"/>
        <v>248.52</v>
      </c>
      <c r="M29" s="59">
        <f t="shared" si="13"/>
        <v>323.08</v>
      </c>
      <c r="N29" s="58"/>
      <c r="O29" s="58"/>
      <c r="P29" s="59">
        <f t="shared" ref="P29:P36" si="15">L29</f>
        <v>248.52</v>
      </c>
      <c r="Q29" s="59">
        <f t="shared" ref="Q29:Q36" si="16">P29</f>
        <v>248.52</v>
      </c>
      <c r="R29" s="60"/>
    </row>
    <row r="30" spans="1:18" x14ac:dyDescent="0.25">
      <c r="B30" s="33" t="s">
        <v>108</v>
      </c>
      <c r="C30" s="34" t="s">
        <v>100</v>
      </c>
      <c r="D30" s="35"/>
      <c r="E30" s="38">
        <v>2</v>
      </c>
      <c r="F30" s="62" t="str">
        <f t="shared" si="14"/>
        <v>06934226001</v>
      </c>
      <c r="G30" s="59">
        <v>60.79</v>
      </c>
      <c r="H30" s="59">
        <v>79.03</v>
      </c>
      <c r="I30" s="60">
        <f t="shared" si="10"/>
        <v>0.23079843097557892</v>
      </c>
      <c r="J30" s="59">
        <f t="shared" si="11"/>
        <v>60.79</v>
      </c>
      <c r="K30" s="59">
        <f t="shared" si="12"/>
        <v>79.03</v>
      </c>
      <c r="L30" s="81">
        <f t="shared" si="6"/>
        <v>121.58</v>
      </c>
      <c r="M30" s="59">
        <f t="shared" si="13"/>
        <v>158.06</v>
      </c>
      <c r="N30" s="58"/>
      <c r="O30" s="58"/>
      <c r="P30" s="59">
        <f t="shared" si="15"/>
        <v>121.58</v>
      </c>
      <c r="Q30" s="59">
        <f t="shared" si="16"/>
        <v>121.58</v>
      </c>
      <c r="R30" s="60"/>
    </row>
    <row r="31" spans="1:18" x14ac:dyDescent="0.25">
      <c r="B31" s="33" t="s">
        <v>109</v>
      </c>
      <c r="C31" s="34" t="s">
        <v>101</v>
      </c>
      <c r="D31" s="35"/>
      <c r="E31" s="38">
        <v>2</v>
      </c>
      <c r="F31" s="62" t="str">
        <f t="shared" si="14"/>
        <v>06931090001</v>
      </c>
      <c r="G31" s="59">
        <v>7.84</v>
      </c>
      <c r="H31" s="59">
        <v>10.19</v>
      </c>
      <c r="I31" s="60">
        <f t="shared" si="10"/>
        <v>0.23061825318940135</v>
      </c>
      <c r="J31" s="59">
        <f t="shared" si="11"/>
        <v>7.84</v>
      </c>
      <c r="K31" s="59">
        <f t="shared" si="12"/>
        <v>10.19</v>
      </c>
      <c r="L31" s="81">
        <f t="shared" si="6"/>
        <v>15.68</v>
      </c>
      <c r="M31" s="59">
        <f t="shared" si="13"/>
        <v>20.38</v>
      </c>
      <c r="N31" s="58"/>
      <c r="O31" s="58"/>
      <c r="P31" s="59">
        <f t="shared" si="15"/>
        <v>15.68</v>
      </c>
      <c r="Q31" s="59">
        <f t="shared" si="16"/>
        <v>15.68</v>
      </c>
      <c r="R31" s="60"/>
    </row>
    <row r="32" spans="1:18" x14ac:dyDescent="0.25">
      <c r="B32" s="30" t="s">
        <v>110</v>
      </c>
      <c r="C32" s="31" t="s">
        <v>102</v>
      </c>
      <c r="D32" s="8"/>
      <c r="E32" s="38">
        <v>4</v>
      </c>
      <c r="F32" s="62" t="str">
        <f t="shared" si="14"/>
        <v>06931537001</v>
      </c>
      <c r="G32" s="59">
        <v>0.75</v>
      </c>
      <c r="H32" s="59">
        <v>0.98</v>
      </c>
      <c r="I32" s="60">
        <f t="shared" si="10"/>
        <v>0.23469387755102039</v>
      </c>
      <c r="J32" s="59">
        <f t="shared" si="11"/>
        <v>0.75</v>
      </c>
      <c r="K32" s="59">
        <f t="shared" si="12"/>
        <v>0.98</v>
      </c>
      <c r="L32" s="81">
        <f t="shared" si="6"/>
        <v>3</v>
      </c>
      <c r="M32" s="59">
        <f t="shared" si="13"/>
        <v>3.92</v>
      </c>
      <c r="N32" s="58"/>
      <c r="O32" s="58"/>
      <c r="P32" s="59">
        <f t="shared" si="15"/>
        <v>3</v>
      </c>
      <c r="Q32" s="59">
        <f t="shared" si="16"/>
        <v>3</v>
      </c>
      <c r="R32" s="60"/>
    </row>
    <row r="33" spans="1:18" x14ac:dyDescent="0.25">
      <c r="B33" s="30" t="s">
        <v>111</v>
      </c>
      <c r="C33" s="31" t="s">
        <v>103</v>
      </c>
      <c r="D33" s="8"/>
      <c r="E33" s="38">
        <v>2</v>
      </c>
      <c r="F33" s="62" t="str">
        <f t="shared" si="14"/>
        <v>05011418001</v>
      </c>
      <c r="G33" s="59">
        <v>0.62</v>
      </c>
      <c r="H33" s="59">
        <v>0.81</v>
      </c>
      <c r="I33" s="60">
        <f t="shared" si="10"/>
        <v>0.23456790123456794</v>
      </c>
      <c r="J33" s="59">
        <f t="shared" si="11"/>
        <v>0.62</v>
      </c>
      <c r="K33" s="59">
        <f t="shared" si="12"/>
        <v>0.81</v>
      </c>
      <c r="L33" s="81">
        <f t="shared" si="6"/>
        <v>1.24</v>
      </c>
      <c r="M33" s="59">
        <f t="shared" si="13"/>
        <v>1.62</v>
      </c>
      <c r="N33" s="58"/>
      <c r="O33" s="58"/>
      <c r="P33" s="59">
        <f t="shared" si="15"/>
        <v>1.24</v>
      </c>
      <c r="Q33" s="59">
        <f t="shared" si="16"/>
        <v>1.24</v>
      </c>
      <c r="R33" s="60"/>
    </row>
    <row r="34" spans="1:18" x14ac:dyDescent="0.25">
      <c r="B34" s="30" t="s">
        <v>112</v>
      </c>
      <c r="C34" s="31" t="s">
        <v>104</v>
      </c>
      <c r="D34" s="8"/>
      <c r="E34" s="38">
        <v>2</v>
      </c>
      <c r="F34" s="62" t="str">
        <f t="shared" si="14"/>
        <v>06572596001</v>
      </c>
      <c r="G34" s="59">
        <v>8.0399999999999991</v>
      </c>
      <c r="H34" s="59">
        <v>10.45</v>
      </c>
      <c r="I34" s="60">
        <f t="shared" si="10"/>
        <v>0.23062200956937801</v>
      </c>
      <c r="J34" s="59">
        <f t="shared" si="11"/>
        <v>8.0399999999999991</v>
      </c>
      <c r="K34" s="59">
        <f t="shared" si="12"/>
        <v>10.45</v>
      </c>
      <c r="L34" s="81">
        <f t="shared" si="6"/>
        <v>16.079999999999998</v>
      </c>
      <c r="M34" s="59">
        <f t="shared" si="13"/>
        <v>20.9</v>
      </c>
      <c r="N34" s="58"/>
      <c r="O34" s="58"/>
      <c r="P34" s="59">
        <f t="shared" si="15"/>
        <v>16.079999999999998</v>
      </c>
      <c r="Q34" s="59">
        <f t="shared" si="16"/>
        <v>16.079999999999998</v>
      </c>
      <c r="R34" s="60"/>
    </row>
    <row r="35" spans="1:18" x14ac:dyDescent="0.25">
      <c r="B35" s="30" t="s">
        <v>113</v>
      </c>
      <c r="C35" s="31" t="s">
        <v>105</v>
      </c>
      <c r="D35" s="8"/>
      <c r="E35" s="38">
        <v>4</v>
      </c>
      <c r="F35" s="62" t="str">
        <f t="shared" si="14"/>
        <v>06572243001</v>
      </c>
      <c r="G35" s="59">
        <v>0.7</v>
      </c>
      <c r="H35" s="59">
        <v>0.91</v>
      </c>
      <c r="I35" s="60">
        <f t="shared" si="10"/>
        <v>0.23076923076923084</v>
      </c>
      <c r="J35" s="59">
        <f t="shared" si="11"/>
        <v>0.7</v>
      </c>
      <c r="K35" s="59">
        <f>H35</f>
        <v>0.91</v>
      </c>
      <c r="L35" s="81">
        <f t="shared" si="6"/>
        <v>2.8</v>
      </c>
      <c r="M35" s="59">
        <f t="shared" si="13"/>
        <v>3.64</v>
      </c>
      <c r="N35" s="58"/>
      <c r="O35" s="58"/>
      <c r="P35" s="59">
        <f t="shared" si="15"/>
        <v>2.8</v>
      </c>
      <c r="Q35" s="59">
        <f t="shared" si="16"/>
        <v>2.8</v>
      </c>
      <c r="R35" s="60"/>
    </row>
    <row r="36" spans="1:18" ht="15.75" thickBot="1" x14ac:dyDescent="0.3">
      <c r="B36" s="12" t="s">
        <v>142</v>
      </c>
      <c r="C36" s="11" t="s">
        <v>115</v>
      </c>
      <c r="D36" s="32"/>
      <c r="E36" s="39">
        <v>30</v>
      </c>
      <c r="F36" s="62" t="str">
        <f t="shared" si="14"/>
        <v>07418248001</v>
      </c>
      <c r="G36" s="59">
        <v>12.17</v>
      </c>
      <c r="H36" s="59">
        <v>24.98</v>
      </c>
      <c r="I36" s="60">
        <f t="shared" si="10"/>
        <v>0.5128102481985588</v>
      </c>
      <c r="J36" s="59">
        <f t="shared" si="11"/>
        <v>12.17</v>
      </c>
      <c r="K36" s="59">
        <v>24.98</v>
      </c>
      <c r="L36" s="81">
        <f t="shared" si="6"/>
        <v>365.1</v>
      </c>
      <c r="M36" s="59">
        <f t="shared" si="13"/>
        <v>749.4</v>
      </c>
      <c r="N36" s="58"/>
      <c r="O36" s="58"/>
      <c r="P36" s="59">
        <f t="shared" si="15"/>
        <v>365.1</v>
      </c>
      <c r="Q36" s="59">
        <f t="shared" si="16"/>
        <v>365.1</v>
      </c>
      <c r="R36" s="60"/>
    </row>
    <row r="37" spans="1:18" ht="15.75" thickBot="1" x14ac:dyDescent="0.3">
      <c r="A37" s="16"/>
      <c r="B37" s="177" t="s">
        <v>51</v>
      </c>
      <c r="C37" s="178"/>
      <c r="D37" s="10"/>
      <c r="E37" s="10"/>
      <c r="J37" s="59"/>
      <c r="K37" s="59"/>
      <c r="N37" s="58"/>
      <c r="O37" s="58"/>
    </row>
    <row r="38" spans="1:18" x14ac:dyDescent="0.25">
      <c r="C38" s="13"/>
      <c r="D38" s="9"/>
      <c r="J38" s="59"/>
      <c r="K38" s="59"/>
      <c r="N38" s="58"/>
      <c r="O38" s="58"/>
    </row>
    <row r="39" spans="1:18" x14ac:dyDescent="0.25">
      <c r="J39" s="59"/>
      <c r="K39" s="59"/>
      <c r="N39" s="58"/>
      <c r="O39" s="58"/>
    </row>
    <row r="40" spans="1:18" x14ac:dyDescent="0.25">
      <c r="B40" s="7" t="s">
        <v>49</v>
      </c>
      <c r="C40" s="7"/>
      <c r="J40" s="59"/>
      <c r="K40" s="59"/>
      <c r="N40" s="58"/>
      <c r="O40" s="58"/>
    </row>
    <row r="41" spans="1:18" x14ac:dyDescent="0.25">
      <c r="A41" s="17" t="s">
        <v>53</v>
      </c>
      <c r="B41" s="1" t="s">
        <v>46</v>
      </c>
      <c r="C41" s="1" t="s">
        <v>47</v>
      </c>
      <c r="D41" s="1" t="s">
        <v>48</v>
      </c>
      <c r="E41" s="1" t="s">
        <v>72</v>
      </c>
      <c r="J41" s="59"/>
      <c r="K41" s="59"/>
      <c r="N41" s="58"/>
      <c r="O41" s="58"/>
    </row>
    <row r="42" spans="1:18" s="70" customFormat="1" x14ac:dyDescent="0.25">
      <c r="A42" s="17">
        <v>60</v>
      </c>
      <c r="B42" s="1"/>
      <c r="C42" s="1" t="s">
        <v>161</v>
      </c>
      <c r="D42" s="1"/>
      <c r="E42" s="1"/>
      <c r="F42" s="68"/>
      <c r="G42" s="69">
        <f>SUM(G43:G53)</f>
        <v>67315.19</v>
      </c>
      <c r="H42" s="69">
        <f>SUM(H43:H53)</f>
        <v>82725.25</v>
      </c>
      <c r="J42" s="69">
        <f>SUM(J43:J53)</f>
        <v>42975.189999999995</v>
      </c>
      <c r="K42" s="69">
        <f>SUM(K43:K53)</f>
        <v>53399.465653282961</v>
      </c>
      <c r="L42" s="69">
        <f t="shared" ref="L42:M42" si="17">SUM(L43:L53)</f>
        <v>44576.14</v>
      </c>
      <c r="M42" s="69">
        <f t="shared" si="17"/>
        <v>55080.463153282966</v>
      </c>
      <c r="N42" s="79">
        <f>-PV($N$2,A42,M42/A42)</f>
        <v>54101.264457185687</v>
      </c>
      <c r="O42" s="79">
        <f>ROUND(N42/A42,0)</f>
        <v>902</v>
      </c>
      <c r="P42" s="69"/>
      <c r="Q42" s="69"/>
    </row>
    <row r="43" spans="1:18" x14ac:dyDescent="0.25">
      <c r="A43" s="75"/>
      <c r="B43" s="95">
        <v>4745868001</v>
      </c>
      <c r="C43" s="95" t="s">
        <v>54</v>
      </c>
      <c r="D43" s="95" t="s">
        <v>59</v>
      </c>
      <c r="E43" s="89">
        <v>1</v>
      </c>
      <c r="F43" s="63">
        <v>4745868001</v>
      </c>
      <c r="G43" s="59">
        <v>18365</v>
      </c>
      <c r="H43" s="59">
        <v>20997.45</v>
      </c>
      <c r="I43" s="60">
        <f t="shared" ref="I43:I46" si="18">(H43-G43)/H43</f>
        <v>0.12536998540298944</v>
      </c>
      <c r="J43" s="59">
        <v>11112</v>
      </c>
      <c r="K43" s="59">
        <v>13340.040708957256</v>
      </c>
      <c r="L43" s="81">
        <f t="shared" ref="L43:L45" si="19">E43*J43</f>
        <v>11112</v>
      </c>
      <c r="M43" s="59">
        <f t="shared" ref="M43:M45" si="20">K43*E43</f>
        <v>13340.040708957256</v>
      </c>
      <c r="N43" s="58"/>
      <c r="O43" s="58"/>
      <c r="P43" s="59">
        <f>G43/$A$42</f>
        <v>306.08333333333331</v>
      </c>
      <c r="Q43" s="59">
        <f>P43</f>
        <v>306.08333333333331</v>
      </c>
      <c r="R43" s="60"/>
    </row>
    <row r="44" spans="1:18" x14ac:dyDescent="0.25">
      <c r="A44" s="75"/>
      <c r="B44" s="95">
        <v>4745914001</v>
      </c>
      <c r="C44" s="95" t="s">
        <v>55</v>
      </c>
      <c r="D44" s="95" t="s">
        <v>60</v>
      </c>
      <c r="E44" s="89">
        <v>1</v>
      </c>
      <c r="F44" s="63">
        <v>4745914001</v>
      </c>
      <c r="G44" s="59">
        <v>41177</v>
      </c>
      <c r="H44" s="59">
        <v>51436.52</v>
      </c>
      <c r="I44" s="60">
        <f t="shared" si="18"/>
        <v>0.19945983904043271</v>
      </c>
      <c r="J44" s="59">
        <v>24926</v>
      </c>
      <c r="K44" s="59">
        <v>32693.300444325712</v>
      </c>
      <c r="L44" s="81">
        <f t="shared" si="19"/>
        <v>24926</v>
      </c>
      <c r="M44" s="59">
        <f t="shared" si="20"/>
        <v>32693.300444325712</v>
      </c>
      <c r="N44" s="58"/>
      <c r="O44" s="58"/>
      <c r="P44" s="59">
        <f>G44/$A$42</f>
        <v>686.2833333333333</v>
      </c>
      <c r="Q44" s="59">
        <f>P44</f>
        <v>686.2833333333333</v>
      </c>
      <c r="R44" s="60"/>
    </row>
    <row r="45" spans="1:18" x14ac:dyDescent="0.25">
      <c r="A45" s="75"/>
      <c r="B45" s="14">
        <v>4433297001</v>
      </c>
      <c r="C45" s="14" t="s">
        <v>56</v>
      </c>
      <c r="D45" s="14" t="s">
        <v>61</v>
      </c>
      <c r="E45" s="19">
        <v>1</v>
      </c>
      <c r="F45" s="63">
        <v>4433297001</v>
      </c>
      <c r="G45" s="59">
        <v>1026</v>
      </c>
      <c r="H45" s="59">
        <v>1448.1</v>
      </c>
      <c r="I45" s="60">
        <f t="shared" si="18"/>
        <v>0.29148539465506523</v>
      </c>
      <c r="J45" s="59">
        <v>190</v>
      </c>
      <c r="K45" s="59">
        <v>281.57499999999999</v>
      </c>
      <c r="L45" s="81">
        <f t="shared" si="19"/>
        <v>190</v>
      </c>
      <c r="M45" s="59">
        <f t="shared" si="20"/>
        <v>281.57499999999999</v>
      </c>
      <c r="N45" s="58"/>
      <c r="O45" s="58"/>
      <c r="P45" s="59">
        <f>L45</f>
        <v>190</v>
      </c>
      <c r="Q45" s="59">
        <v>0</v>
      </c>
      <c r="R45" s="60"/>
    </row>
    <row r="46" spans="1:18" x14ac:dyDescent="0.25">
      <c r="A46" s="75"/>
      <c r="B46" s="15"/>
      <c r="C46" s="15" t="s">
        <v>57</v>
      </c>
      <c r="D46" s="15" t="s">
        <v>58</v>
      </c>
      <c r="E46" s="20">
        <v>1</v>
      </c>
      <c r="F46" s="63" t="s">
        <v>163</v>
      </c>
      <c r="G46" s="59">
        <v>1448.1</v>
      </c>
      <c r="H46" s="59">
        <v>1883</v>
      </c>
      <c r="I46" s="60">
        <f t="shared" si="18"/>
        <v>0.23096123207647376</v>
      </c>
      <c r="J46" s="59">
        <f>G46</f>
        <v>1448.1</v>
      </c>
      <c r="K46" s="59">
        <f>G46*1.05</f>
        <v>1520.5049999999999</v>
      </c>
      <c r="L46" s="81">
        <f t="shared" ref="L46" si="21">E46*J46</f>
        <v>1448.1</v>
      </c>
      <c r="M46" s="59">
        <f t="shared" ref="M46" si="22">K46*E46</f>
        <v>1520.5049999999999</v>
      </c>
      <c r="N46" s="58"/>
      <c r="O46" s="58"/>
      <c r="P46" s="59">
        <f>L46</f>
        <v>1448.1</v>
      </c>
      <c r="Q46" s="59">
        <v>0</v>
      </c>
    </row>
    <row r="47" spans="1:18" x14ac:dyDescent="0.25">
      <c r="A47" s="75"/>
      <c r="B47" s="6"/>
      <c r="C47" s="21" t="s">
        <v>73</v>
      </c>
      <c r="D47" s="6"/>
      <c r="E47" s="45"/>
      <c r="J47" s="59"/>
      <c r="K47" s="59"/>
      <c r="N47" s="58"/>
      <c r="O47" s="58"/>
      <c r="Q47" s="59">
        <v>0</v>
      </c>
    </row>
    <row r="48" spans="1:18" x14ac:dyDescent="0.25">
      <c r="A48" s="75"/>
      <c r="B48" s="96">
        <v>4885775001</v>
      </c>
      <c r="C48" s="96" t="s">
        <v>66</v>
      </c>
      <c r="D48" s="96"/>
      <c r="E48" s="89">
        <v>1</v>
      </c>
      <c r="F48" s="63">
        <v>4885775001</v>
      </c>
      <c r="G48" s="59">
        <v>4435</v>
      </c>
      <c r="H48" s="59">
        <v>5213.16</v>
      </c>
      <c r="I48" s="60">
        <f>(H48-G48)/H48</f>
        <v>0.14926838999762138</v>
      </c>
      <c r="J48" s="59">
        <f>G48</f>
        <v>4435</v>
      </c>
      <c r="K48" s="59">
        <f t="shared" ref="K48" si="23">G48*1.05</f>
        <v>4656.75</v>
      </c>
      <c r="L48" s="81">
        <f t="shared" ref="L48" si="24">E48*G48</f>
        <v>4435</v>
      </c>
      <c r="M48" s="59">
        <f t="shared" ref="M48" si="25">K48*E48</f>
        <v>4656.75</v>
      </c>
      <c r="N48" s="58"/>
      <c r="O48" s="58"/>
      <c r="P48" s="59">
        <f>G48/$A$42</f>
        <v>73.916666666666671</v>
      </c>
      <c r="Q48" s="59">
        <f>P48</f>
        <v>73.916666666666671</v>
      </c>
      <c r="R48" s="60"/>
    </row>
    <row r="49" spans="1:18" x14ac:dyDescent="0.25">
      <c r="B49" s="42"/>
      <c r="C49" s="51" t="s">
        <v>97</v>
      </c>
      <c r="D49" s="42"/>
      <c r="E49" s="44"/>
      <c r="J49" s="59"/>
      <c r="K49" s="59"/>
      <c r="N49" s="58"/>
      <c r="O49" s="58"/>
    </row>
    <row r="50" spans="1:18" x14ac:dyDescent="0.25">
      <c r="B50" s="14" t="s">
        <v>119</v>
      </c>
      <c r="C50" s="14" t="s">
        <v>116</v>
      </c>
      <c r="D50" s="14"/>
      <c r="E50" s="19">
        <v>8</v>
      </c>
      <c r="F50" s="63" t="s">
        <v>119</v>
      </c>
      <c r="G50" s="59">
        <v>156.5</v>
      </c>
      <c r="H50" s="59">
        <v>331</v>
      </c>
      <c r="I50" s="60">
        <f t="shared" ref="I50:I53" si="26">(H50-G50)/H50</f>
        <v>0.52719033232628398</v>
      </c>
      <c r="J50" s="59">
        <f t="shared" ref="J50:J53" si="27">G50</f>
        <v>156.5</v>
      </c>
      <c r="K50" s="59">
        <f t="shared" ref="K50:K53" si="28">G50*1.05</f>
        <v>164.32500000000002</v>
      </c>
      <c r="L50" s="81">
        <f t="shared" ref="L50:L53" si="29">E50*G50</f>
        <v>1252</v>
      </c>
      <c r="M50" s="59">
        <f t="shared" ref="M50:M53" si="30">K50*E50</f>
        <v>1314.6000000000001</v>
      </c>
      <c r="N50" s="58"/>
      <c r="O50" s="58"/>
      <c r="P50" s="59">
        <f t="shared" ref="P50:P53" si="31">L50</f>
        <v>1252</v>
      </c>
      <c r="Q50" s="59">
        <f>P50</f>
        <v>1252</v>
      </c>
      <c r="R50" s="60"/>
    </row>
    <row r="51" spans="1:18" x14ac:dyDescent="0.25">
      <c r="B51" s="14" t="s">
        <v>120</v>
      </c>
      <c r="C51" s="40" t="s">
        <v>117</v>
      </c>
      <c r="D51" s="14"/>
      <c r="E51" s="19">
        <v>1</v>
      </c>
      <c r="F51" s="63" t="s">
        <v>120</v>
      </c>
      <c r="G51" s="59">
        <v>542.9</v>
      </c>
      <c r="H51" s="59">
        <v>1086</v>
      </c>
      <c r="I51" s="60">
        <f t="shared" si="26"/>
        <v>0.50009208103130753</v>
      </c>
      <c r="J51" s="59">
        <f t="shared" si="27"/>
        <v>542.9</v>
      </c>
      <c r="K51" s="59">
        <f t="shared" si="28"/>
        <v>570.04499999999996</v>
      </c>
      <c r="L51" s="81">
        <f t="shared" si="29"/>
        <v>542.9</v>
      </c>
      <c r="M51" s="59">
        <f t="shared" si="30"/>
        <v>570.04499999999996</v>
      </c>
      <c r="N51" s="58"/>
      <c r="O51" s="58"/>
      <c r="P51" s="59">
        <f t="shared" si="31"/>
        <v>542.9</v>
      </c>
      <c r="Q51" s="59">
        <f t="shared" ref="Q51:Q53" si="32">P51</f>
        <v>542.9</v>
      </c>
      <c r="R51" s="60"/>
    </row>
    <row r="52" spans="1:18" x14ac:dyDescent="0.25">
      <c r="B52" s="15" t="s">
        <v>121</v>
      </c>
      <c r="C52" s="15" t="s">
        <v>118</v>
      </c>
      <c r="D52" s="40"/>
      <c r="E52" s="20">
        <v>2</v>
      </c>
      <c r="F52" s="63" t="s">
        <v>121</v>
      </c>
      <c r="G52" s="59">
        <v>152.52000000000001</v>
      </c>
      <c r="H52" s="59">
        <v>305.04000000000002</v>
      </c>
      <c r="I52" s="60">
        <f t="shared" si="26"/>
        <v>0.5</v>
      </c>
      <c r="J52" s="59">
        <f t="shared" si="27"/>
        <v>152.52000000000001</v>
      </c>
      <c r="K52" s="59">
        <f t="shared" si="28"/>
        <v>160.14600000000002</v>
      </c>
      <c r="L52" s="81">
        <f t="shared" si="29"/>
        <v>305.04000000000002</v>
      </c>
      <c r="M52" s="59">
        <f t="shared" si="30"/>
        <v>320.29200000000003</v>
      </c>
      <c r="N52" s="58"/>
      <c r="O52" s="58"/>
      <c r="P52" s="59">
        <f t="shared" si="31"/>
        <v>305.04000000000002</v>
      </c>
      <c r="Q52" s="59">
        <f t="shared" si="32"/>
        <v>305.04000000000002</v>
      </c>
      <c r="R52" s="60"/>
    </row>
    <row r="53" spans="1:18" ht="15.75" thickBot="1" x14ac:dyDescent="0.3">
      <c r="B53" s="12" t="s">
        <v>142</v>
      </c>
      <c r="C53" s="11" t="s">
        <v>115</v>
      </c>
      <c r="D53" s="47"/>
      <c r="E53" s="49">
        <v>30</v>
      </c>
      <c r="F53" s="64" t="s">
        <v>142</v>
      </c>
      <c r="G53" s="59">
        <v>12.17</v>
      </c>
      <c r="H53" s="59">
        <v>24.98</v>
      </c>
      <c r="I53" s="60">
        <f t="shared" si="26"/>
        <v>0.5128102481985588</v>
      </c>
      <c r="J53" s="59">
        <f t="shared" si="27"/>
        <v>12.17</v>
      </c>
      <c r="K53" s="59">
        <f t="shared" si="28"/>
        <v>12.778500000000001</v>
      </c>
      <c r="L53" s="81">
        <f t="shared" si="29"/>
        <v>365.1</v>
      </c>
      <c r="M53" s="59">
        <f t="shared" si="30"/>
        <v>383.35500000000002</v>
      </c>
      <c r="N53" s="58"/>
      <c r="O53" s="58"/>
      <c r="P53" s="59">
        <f t="shared" si="31"/>
        <v>365.1</v>
      </c>
      <c r="Q53" s="59">
        <f t="shared" si="32"/>
        <v>365.1</v>
      </c>
      <c r="R53" s="60"/>
    </row>
    <row r="54" spans="1:18" ht="15.75" thickBot="1" x14ac:dyDescent="0.3">
      <c r="B54" s="175" t="s">
        <v>51</v>
      </c>
      <c r="C54" s="176"/>
      <c r="D54" s="46"/>
      <c r="E54" s="48"/>
      <c r="J54" s="59"/>
      <c r="K54" s="59"/>
      <c r="N54" s="58"/>
      <c r="O54" s="58"/>
    </row>
    <row r="55" spans="1:18" x14ac:dyDescent="0.25">
      <c r="D55" s="9"/>
      <c r="J55" s="59"/>
      <c r="K55" s="59"/>
      <c r="N55" s="58"/>
      <c r="O55" s="58"/>
    </row>
    <row r="56" spans="1:18" x14ac:dyDescent="0.25">
      <c r="D56" s="13"/>
      <c r="J56" s="59"/>
      <c r="K56" s="59"/>
      <c r="N56" s="58"/>
      <c r="O56" s="58"/>
    </row>
    <row r="57" spans="1:18" x14ac:dyDescent="0.25">
      <c r="A57" s="17" t="s">
        <v>64</v>
      </c>
      <c r="B57" s="1" t="s">
        <v>46</v>
      </c>
      <c r="C57" s="1" t="s">
        <v>47</v>
      </c>
      <c r="D57" s="1" t="s">
        <v>48</v>
      </c>
      <c r="E57" s="1" t="s">
        <v>72</v>
      </c>
      <c r="J57" s="59"/>
      <c r="K57" s="59"/>
      <c r="N57" s="58"/>
      <c r="O57" s="58"/>
    </row>
    <row r="58" spans="1:18" s="70" customFormat="1" x14ac:dyDescent="0.25">
      <c r="A58" s="17">
        <v>60</v>
      </c>
      <c r="B58" s="1"/>
      <c r="C58" s="1" t="s">
        <v>161</v>
      </c>
      <c r="D58" s="1"/>
      <c r="E58" s="1"/>
      <c r="F58" s="68"/>
      <c r="G58" s="69">
        <f>SUM(G59:G67)</f>
        <v>61038.32</v>
      </c>
      <c r="H58" s="69">
        <f>SUM(H59:H67)</f>
        <v>72049.099999999977</v>
      </c>
      <c r="J58" s="69">
        <f>SUM(J59:J67)</f>
        <v>61038.32</v>
      </c>
      <c r="K58" s="69">
        <f>SUM(K59:K67)</f>
        <v>64090.235999999997</v>
      </c>
      <c r="L58" s="69">
        <f t="shared" ref="L58:M58" si="33">SUM(L59:L67)</f>
        <v>62210.000000000007</v>
      </c>
      <c r="M58" s="69">
        <f t="shared" si="33"/>
        <v>65320.5</v>
      </c>
      <c r="N58" s="79">
        <f>-PV($N$2,A58,M58/A58)</f>
        <v>64159.257977571397</v>
      </c>
      <c r="O58" s="79">
        <f>ROUND(N58/A58,0)</f>
        <v>1069</v>
      </c>
      <c r="P58" s="69"/>
      <c r="Q58" s="69"/>
    </row>
    <row r="59" spans="1:18" x14ac:dyDescent="0.25">
      <c r="B59" s="95">
        <v>4745922001</v>
      </c>
      <c r="C59" s="95" t="s">
        <v>62</v>
      </c>
      <c r="D59" s="92"/>
      <c r="E59" s="89">
        <v>1</v>
      </c>
      <c r="F59" s="63">
        <v>4745922001</v>
      </c>
      <c r="G59" s="59">
        <v>46078</v>
      </c>
      <c r="H59" s="59">
        <v>55607.040000000001</v>
      </c>
      <c r="I59" s="60">
        <f t="shared" ref="I59:I63" si="34">(H59-G59)/H59</f>
        <v>0.17136391363395714</v>
      </c>
      <c r="J59" s="59">
        <f t="shared" ref="J59:J63" si="35">G59</f>
        <v>46078</v>
      </c>
      <c r="K59" s="59">
        <f t="shared" ref="K59:K63" si="36">G59*(1+$K$2)</f>
        <v>48381.9</v>
      </c>
      <c r="L59" s="81">
        <f t="shared" ref="L59:L63" si="37">E59*G59</f>
        <v>46078</v>
      </c>
      <c r="M59" s="59">
        <f t="shared" ref="M59:M63" si="38">K59*E59</f>
        <v>48381.9</v>
      </c>
      <c r="N59" s="58"/>
      <c r="O59" s="58"/>
      <c r="P59" s="81">
        <f>G59/$A$58</f>
        <v>767.9666666666667</v>
      </c>
      <c r="Q59" s="59">
        <f t="shared" ref="Q59:Q61" si="39">P59</f>
        <v>767.9666666666667</v>
      </c>
      <c r="R59" s="60"/>
    </row>
    <row r="60" spans="1:18" x14ac:dyDescent="0.25">
      <c r="B60" s="95">
        <v>4885783001</v>
      </c>
      <c r="C60" s="95" t="s">
        <v>68</v>
      </c>
      <c r="D60" s="92"/>
      <c r="E60" s="89">
        <v>1</v>
      </c>
      <c r="F60" s="63">
        <v>4885783001</v>
      </c>
      <c r="G60" s="59">
        <v>4659</v>
      </c>
      <c r="H60" s="59">
        <v>5213.16</v>
      </c>
      <c r="I60" s="60">
        <f t="shared" si="34"/>
        <v>0.10630020946988004</v>
      </c>
      <c r="J60" s="59">
        <f t="shared" si="35"/>
        <v>4659</v>
      </c>
      <c r="K60" s="59">
        <f t="shared" si="36"/>
        <v>4891.95</v>
      </c>
      <c r="L60" s="81">
        <f t="shared" si="37"/>
        <v>4659</v>
      </c>
      <c r="M60" s="59">
        <f t="shared" si="38"/>
        <v>4891.95</v>
      </c>
      <c r="N60" s="58"/>
      <c r="O60" s="58"/>
      <c r="P60" s="81">
        <f>G60/$A$58</f>
        <v>77.650000000000006</v>
      </c>
      <c r="Q60" s="59">
        <f t="shared" si="39"/>
        <v>77.650000000000006</v>
      </c>
      <c r="R60" s="60"/>
    </row>
    <row r="61" spans="1:18" x14ac:dyDescent="0.25">
      <c r="B61" s="95">
        <v>4745876001</v>
      </c>
      <c r="C61" s="95" t="s">
        <v>96</v>
      </c>
      <c r="D61" s="92"/>
      <c r="E61" s="89">
        <v>1</v>
      </c>
      <c r="F61" s="63">
        <v>4745876001</v>
      </c>
      <c r="G61" s="59">
        <v>9067</v>
      </c>
      <c r="H61" s="59">
        <v>9470.57</v>
      </c>
      <c r="I61" s="60">
        <f t="shared" si="34"/>
        <v>4.2613063416457479E-2</v>
      </c>
      <c r="J61" s="59">
        <f t="shared" si="35"/>
        <v>9067</v>
      </c>
      <c r="K61" s="59">
        <f t="shared" si="36"/>
        <v>9520.35</v>
      </c>
      <c r="L61" s="81">
        <f t="shared" si="37"/>
        <v>9067</v>
      </c>
      <c r="M61" s="59">
        <f t="shared" si="38"/>
        <v>9520.35</v>
      </c>
      <c r="N61" s="58"/>
      <c r="O61" s="58"/>
      <c r="P61" s="81">
        <f>G61/$A$58</f>
        <v>151.11666666666667</v>
      </c>
      <c r="Q61" s="59">
        <f t="shared" si="39"/>
        <v>151.11666666666667</v>
      </c>
      <c r="R61" s="60"/>
    </row>
    <row r="62" spans="1:18" x14ac:dyDescent="0.25">
      <c r="B62" s="14">
        <v>5151643001</v>
      </c>
      <c r="C62" s="14" t="s">
        <v>63</v>
      </c>
      <c r="D62" s="4"/>
      <c r="E62" s="19">
        <v>2</v>
      </c>
      <c r="F62" s="63">
        <v>5151643001</v>
      </c>
      <c r="G62" s="59">
        <v>941.4</v>
      </c>
      <c r="H62" s="59">
        <v>1347.97</v>
      </c>
      <c r="I62" s="60">
        <f t="shared" si="34"/>
        <v>0.3016165048183565</v>
      </c>
      <c r="J62" s="59">
        <f t="shared" si="35"/>
        <v>941.4</v>
      </c>
      <c r="K62" s="59">
        <f t="shared" si="36"/>
        <v>988.47</v>
      </c>
      <c r="L62" s="81">
        <f t="shared" si="37"/>
        <v>1882.8</v>
      </c>
      <c r="M62" s="59">
        <f t="shared" si="38"/>
        <v>1976.94</v>
      </c>
      <c r="N62" s="58"/>
      <c r="O62" s="58"/>
      <c r="P62" s="59">
        <f>L62</f>
        <v>1882.8</v>
      </c>
      <c r="R62" s="60"/>
    </row>
    <row r="63" spans="1:18" x14ac:dyDescent="0.25">
      <c r="B63" s="14">
        <v>5551471001</v>
      </c>
      <c r="C63" s="14" t="s">
        <v>74</v>
      </c>
      <c r="D63" s="4"/>
      <c r="E63" s="14">
        <v>1</v>
      </c>
      <c r="F63" s="63">
        <v>5551471001</v>
      </c>
      <c r="G63" s="59">
        <v>147.94999999999999</v>
      </c>
      <c r="H63" s="59">
        <v>202.73</v>
      </c>
      <c r="I63" s="60">
        <f t="shared" si="34"/>
        <v>0.27021161150298428</v>
      </c>
      <c r="J63" s="59">
        <f t="shared" si="35"/>
        <v>147.94999999999999</v>
      </c>
      <c r="K63" s="59">
        <f t="shared" si="36"/>
        <v>155.3475</v>
      </c>
      <c r="L63" s="81">
        <f t="shared" si="37"/>
        <v>147.94999999999999</v>
      </c>
      <c r="M63" s="59">
        <f t="shared" si="38"/>
        <v>155.3475</v>
      </c>
      <c r="N63" s="58"/>
      <c r="O63" s="58"/>
      <c r="P63" s="59">
        <f>L63</f>
        <v>147.94999999999999</v>
      </c>
      <c r="R63" s="60"/>
    </row>
    <row r="64" spans="1:18" x14ac:dyDescent="0.25">
      <c r="B64" s="42"/>
      <c r="C64" s="51" t="s">
        <v>97</v>
      </c>
      <c r="D64" s="42"/>
      <c r="E64" s="44"/>
      <c r="J64" s="59"/>
      <c r="K64" s="59"/>
      <c r="N64" s="58"/>
      <c r="O64" s="58"/>
    </row>
    <row r="65" spans="1:18" x14ac:dyDescent="0.25">
      <c r="B65" s="14" t="s">
        <v>124</v>
      </c>
      <c r="C65" s="14" t="s">
        <v>122</v>
      </c>
      <c r="D65" s="4"/>
      <c r="E65" s="14">
        <v>1</v>
      </c>
      <c r="F65" s="63" t="s">
        <v>124</v>
      </c>
      <c r="G65" s="59">
        <v>72.900000000000006</v>
      </c>
      <c r="H65" s="59">
        <v>100.23</v>
      </c>
      <c r="I65" s="60">
        <f t="shared" ref="I65:I67" si="40">(H65-G65)/H65</f>
        <v>0.27267285243938938</v>
      </c>
      <c r="J65" s="59">
        <f t="shared" ref="J65:J67" si="41">G65</f>
        <v>72.900000000000006</v>
      </c>
      <c r="K65" s="59">
        <f t="shared" ref="K65:K67" si="42">G65*1.05</f>
        <v>76.545000000000016</v>
      </c>
      <c r="L65" s="81">
        <f t="shared" ref="L65:L67" si="43">E65*G65</f>
        <v>72.900000000000006</v>
      </c>
      <c r="M65" s="59">
        <f t="shared" ref="M65:M67" si="44">K65*E65</f>
        <v>76.545000000000016</v>
      </c>
      <c r="N65" s="58"/>
      <c r="O65" s="58"/>
      <c r="P65" s="59">
        <f>L65</f>
        <v>72.900000000000006</v>
      </c>
      <c r="Q65" s="59">
        <f t="shared" ref="Q65:Q67" si="45">P65</f>
        <v>72.900000000000006</v>
      </c>
      <c r="R65" s="60"/>
    </row>
    <row r="66" spans="1:18" x14ac:dyDescent="0.25">
      <c r="B66" s="14">
        <v>3060039001</v>
      </c>
      <c r="C66" s="14" t="s">
        <v>123</v>
      </c>
      <c r="D66" s="4"/>
      <c r="E66" s="14">
        <v>2</v>
      </c>
      <c r="F66" s="63">
        <v>3060039001</v>
      </c>
      <c r="G66" s="59">
        <v>59.9</v>
      </c>
      <c r="H66" s="59">
        <v>82.42</v>
      </c>
      <c r="I66" s="60">
        <f t="shared" si="40"/>
        <v>0.27323465178354772</v>
      </c>
      <c r="J66" s="59">
        <f t="shared" si="41"/>
        <v>59.9</v>
      </c>
      <c r="K66" s="59">
        <f t="shared" si="42"/>
        <v>62.895000000000003</v>
      </c>
      <c r="L66" s="81">
        <f t="shared" si="43"/>
        <v>119.8</v>
      </c>
      <c r="M66" s="59">
        <f t="shared" si="44"/>
        <v>125.79</v>
      </c>
      <c r="N66" s="58"/>
      <c r="O66" s="58"/>
      <c r="P66" s="59">
        <f>L66</f>
        <v>119.8</v>
      </c>
      <c r="Q66" s="59">
        <f t="shared" si="45"/>
        <v>119.8</v>
      </c>
      <c r="R66" s="60"/>
    </row>
    <row r="67" spans="1:18" ht="15.75" thickBot="1" x14ac:dyDescent="0.3">
      <c r="B67" s="12" t="s">
        <v>142</v>
      </c>
      <c r="C67" s="11" t="s">
        <v>115</v>
      </c>
      <c r="D67" s="32"/>
      <c r="E67" s="14">
        <v>15</v>
      </c>
      <c r="F67" s="63" t="s">
        <v>142</v>
      </c>
      <c r="G67" s="59">
        <v>12.17</v>
      </c>
      <c r="H67" s="59">
        <v>24.98</v>
      </c>
      <c r="I67" s="60">
        <f t="shared" si="40"/>
        <v>0.5128102481985588</v>
      </c>
      <c r="J67" s="59">
        <f t="shared" si="41"/>
        <v>12.17</v>
      </c>
      <c r="K67" s="59">
        <f t="shared" si="42"/>
        <v>12.778500000000001</v>
      </c>
      <c r="L67" s="81">
        <f t="shared" si="43"/>
        <v>182.55</v>
      </c>
      <c r="M67" s="59">
        <f t="shared" si="44"/>
        <v>191.67750000000001</v>
      </c>
      <c r="N67" s="58"/>
      <c r="O67" s="58"/>
      <c r="P67" s="59">
        <f>L67</f>
        <v>182.55</v>
      </c>
      <c r="Q67" s="59">
        <f t="shared" si="45"/>
        <v>182.55</v>
      </c>
      <c r="R67" s="60"/>
    </row>
    <row r="68" spans="1:18" ht="15.75" thickBot="1" x14ac:dyDescent="0.3">
      <c r="B68" s="175" t="s">
        <v>51</v>
      </c>
      <c r="C68" s="176"/>
      <c r="D68" s="46"/>
      <c r="J68" s="59"/>
      <c r="K68" s="59"/>
      <c r="N68" s="58"/>
      <c r="O68" s="58"/>
    </row>
    <row r="69" spans="1:18" x14ac:dyDescent="0.25">
      <c r="B69" s="28"/>
      <c r="C69" s="29"/>
      <c r="D69" s="13"/>
      <c r="J69" s="59"/>
      <c r="K69" s="59"/>
      <c r="N69" s="58"/>
      <c r="O69" s="58"/>
    </row>
    <row r="70" spans="1:18" x14ac:dyDescent="0.25">
      <c r="J70" s="59"/>
      <c r="K70" s="59"/>
      <c r="N70" s="58"/>
      <c r="O70" s="58"/>
    </row>
    <row r="71" spans="1:18" x14ac:dyDescent="0.25">
      <c r="A71" s="17" t="s">
        <v>65</v>
      </c>
      <c r="B71" s="1" t="s">
        <v>46</v>
      </c>
      <c r="C71" s="1" t="s">
        <v>47</v>
      </c>
      <c r="D71" s="1" t="s">
        <v>48</v>
      </c>
      <c r="E71" s="1" t="s">
        <v>72</v>
      </c>
      <c r="J71" s="59"/>
      <c r="K71" s="59"/>
      <c r="N71" s="58"/>
      <c r="O71" s="58"/>
    </row>
    <row r="72" spans="1:18" s="70" customFormat="1" x14ac:dyDescent="0.25">
      <c r="A72" s="17">
        <v>60</v>
      </c>
      <c r="B72" s="1"/>
      <c r="C72" s="1" t="s">
        <v>161</v>
      </c>
      <c r="D72" s="1"/>
      <c r="E72" s="1"/>
      <c r="F72" s="68"/>
      <c r="G72" s="69">
        <f>SUM(G73:G82)</f>
        <v>62830.039999999994</v>
      </c>
      <c r="H72" s="69">
        <f>SUM(H73:H82)</f>
        <v>76697.819999999992</v>
      </c>
      <c r="J72" s="69">
        <f>SUM(J73:J82)</f>
        <v>62830.039999999994</v>
      </c>
      <c r="K72" s="69">
        <f>SUM(K73:K82)</f>
        <v>65971.542000000001</v>
      </c>
      <c r="L72" s="69">
        <f t="shared" ref="L72:M72" si="46">SUM(L73:L82)</f>
        <v>64430.99</v>
      </c>
      <c r="M72" s="69">
        <f t="shared" si="46"/>
        <v>67652.539499999999</v>
      </c>
      <c r="N72" s="79">
        <f>-PV($N$2,A72,M72/A72)</f>
        <v>66449.839401387595</v>
      </c>
      <c r="O72" s="79">
        <f>ROUND(N72/A72,0)</f>
        <v>1107</v>
      </c>
      <c r="P72" s="69"/>
      <c r="Q72" s="69"/>
    </row>
    <row r="73" spans="1:18" x14ac:dyDescent="0.25">
      <c r="B73" s="95">
        <v>4745868001</v>
      </c>
      <c r="C73" s="95" t="s">
        <v>54</v>
      </c>
      <c r="D73" s="95"/>
      <c r="E73" s="89">
        <v>1</v>
      </c>
      <c r="F73" s="63">
        <v>4745868001</v>
      </c>
      <c r="G73" s="59">
        <v>18365</v>
      </c>
      <c r="H73" s="59">
        <v>20997.45</v>
      </c>
      <c r="I73" s="60">
        <f t="shared" ref="I73:I77" si="47">(H73-G73)/H73</f>
        <v>0.12536998540298944</v>
      </c>
      <c r="J73" s="59">
        <f t="shared" ref="J73:J77" si="48">G73</f>
        <v>18365</v>
      </c>
      <c r="K73" s="59">
        <f t="shared" ref="K73:K77" si="49">G73*(1+$K$2)</f>
        <v>19283.25</v>
      </c>
      <c r="L73" s="81">
        <f t="shared" ref="L73:L77" si="50">E73*G73</f>
        <v>18365</v>
      </c>
      <c r="M73" s="59">
        <f t="shared" ref="M73:M77" si="51">K73*E73</f>
        <v>19283.25</v>
      </c>
      <c r="N73" s="58"/>
      <c r="O73" s="58"/>
      <c r="P73" s="81">
        <f>G73/$A$72</f>
        <v>306.08333333333331</v>
      </c>
      <c r="Q73" s="59">
        <f t="shared" ref="Q73:Q74" si="52">P73</f>
        <v>306.08333333333331</v>
      </c>
      <c r="R73" s="60"/>
    </row>
    <row r="74" spans="1:18" x14ac:dyDescent="0.25">
      <c r="B74" s="95">
        <v>4745914001</v>
      </c>
      <c r="C74" s="95" t="s">
        <v>55</v>
      </c>
      <c r="D74" s="95"/>
      <c r="E74" s="89">
        <v>1</v>
      </c>
      <c r="F74" s="63">
        <v>4745914001</v>
      </c>
      <c r="G74" s="59">
        <v>41177</v>
      </c>
      <c r="H74" s="59">
        <v>51436.52</v>
      </c>
      <c r="I74" s="60">
        <f t="shared" si="47"/>
        <v>0.19945983904043271</v>
      </c>
      <c r="J74" s="59">
        <f t="shared" si="48"/>
        <v>41177</v>
      </c>
      <c r="K74" s="59">
        <f t="shared" si="49"/>
        <v>43235.85</v>
      </c>
      <c r="L74" s="81">
        <f t="shared" si="50"/>
        <v>41177</v>
      </c>
      <c r="M74" s="59">
        <f t="shared" si="51"/>
        <v>43235.85</v>
      </c>
      <c r="N74" s="58"/>
      <c r="O74" s="58"/>
      <c r="P74" s="81">
        <f>G74/$A$72</f>
        <v>686.2833333333333</v>
      </c>
      <c r="Q74" s="59">
        <f t="shared" si="52"/>
        <v>686.2833333333333</v>
      </c>
      <c r="R74" s="60"/>
    </row>
    <row r="75" spans="1:18" x14ac:dyDescent="0.25">
      <c r="B75" s="15">
        <v>4433297001</v>
      </c>
      <c r="C75" s="15" t="s">
        <v>56</v>
      </c>
      <c r="D75" s="15"/>
      <c r="E75" s="20">
        <v>1</v>
      </c>
      <c r="F75" s="63">
        <v>4433297001</v>
      </c>
      <c r="G75" s="59">
        <v>1026</v>
      </c>
      <c r="H75" s="59">
        <v>1448.1</v>
      </c>
      <c r="I75" s="60">
        <f t="shared" si="47"/>
        <v>0.29148539465506523</v>
      </c>
      <c r="J75" s="59">
        <f t="shared" si="48"/>
        <v>1026</v>
      </c>
      <c r="K75" s="59">
        <f t="shared" si="49"/>
        <v>1077.3</v>
      </c>
      <c r="L75" s="81">
        <f t="shared" si="50"/>
        <v>1026</v>
      </c>
      <c r="M75" s="59">
        <f t="shared" si="51"/>
        <v>1077.3</v>
      </c>
      <c r="N75" s="58"/>
      <c r="O75" s="58"/>
      <c r="P75" s="59">
        <f t="shared" ref="P75:P77" si="53">L75</f>
        <v>1026</v>
      </c>
      <c r="R75" s="60"/>
    </row>
    <row r="76" spans="1:18" x14ac:dyDescent="0.25">
      <c r="B76" s="57" t="s">
        <v>149</v>
      </c>
      <c r="C76" s="14" t="s">
        <v>75</v>
      </c>
      <c r="D76" s="14"/>
      <c r="E76" s="19">
        <v>1</v>
      </c>
      <c r="F76" s="63" t="s">
        <v>149</v>
      </c>
      <c r="G76" s="59">
        <v>1250</v>
      </c>
      <c r="H76" s="59">
        <v>866</v>
      </c>
      <c r="I76" s="60">
        <f t="shared" si="47"/>
        <v>-0.44341801385681295</v>
      </c>
      <c r="J76" s="59">
        <f t="shared" si="48"/>
        <v>1250</v>
      </c>
      <c r="K76" s="59">
        <f t="shared" si="49"/>
        <v>1312.5</v>
      </c>
      <c r="L76" s="81">
        <f t="shared" si="50"/>
        <v>1250</v>
      </c>
      <c r="M76" s="59">
        <f t="shared" si="51"/>
        <v>1312.5</v>
      </c>
      <c r="N76" s="58"/>
      <c r="O76" s="58"/>
      <c r="P76" s="59">
        <f t="shared" si="53"/>
        <v>1250</v>
      </c>
      <c r="R76" s="60"/>
    </row>
    <row r="77" spans="1:18" x14ac:dyDescent="0.25">
      <c r="B77" s="14">
        <v>5551471001</v>
      </c>
      <c r="C77" s="14" t="s">
        <v>74</v>
      </c>
      <c r="D77" s="4"/>
      <c r="E77" s="19">
        <v>1</v>
      </c>
      <c r="F77" s="63">
        <v>5551471001</v>
      </c>
      <c r="G77" s="59">
        <v>147.94999999999999</v>
      </c>
      <c r="H77" s="59">
        <v>202.73</v>
      </c>
      <c r="I77" s="60">
        <f t="shared" si="47"/>
        <v>0.27021161150298428</v>
      </c>
      <c r="J77" s="59">
        <f t="shared" si="48"/>
        <v>147.94999999999999</v>
      </c>
      <c r="K77" s="59">
        <f t="shared" si="49"/>
        <v>155.3475</v>
      </c>
      <c r="L77" s="81">
        <f t="shared" si="50"/>
        <v>147.94999999999999</v>
      </c>
      <c r="M77" s="59">
        <f t="shared" si="51"/>
        <v>155.3475</v>
      </c>
      <c r="N77" s="58"/>
      <c r="O77" s="58"/>
      <c r="P77" s="59">
        <f t="shared" si="53"/>
        <v>147.94999999999999</v>
      </c>
      <c r="R77" s="60"/>
    </row>
    <row r="78" spans="1:18" x14ac:dyDescent="0.25">
      <c r="B78" s="42"/>
      <c r="C78" s="51" t="s">
        <v>97</v>
      </c>
      <c r="D78" s="42"/>
      <c r="E78" s="44"/>
      <c r="J78" s="59"/>
      <c r="K78" s="59"/>
      <c r="N78" s="58"/>
      <c r="O78" s="58"/>
    </row>
    <row r="79" spans="1:18" x14ac:dyDescent="0.25">
      <c r="B79" s="14" t="s">
        <v>119</v>
      </c>
      <c r="C79" s="14" t="s">
        <v>116</v>
      </c>
      <c r="D79" s="14"/>
      <c r="E79" s="19">
        <v>8</v>
      </c>
      <c r="F79" s="63" t="s">
        <v>119</v>
      </c>
      <c r="G79" s="59">
        <v>156.5</v>
      </c>
      <c r="H79" s="59">
        <v>331</v>
      </c>
      <c r="I79" s="60">
        <f t="shared" ref="I79:I82" si="54">(H79-G79)/H79</f>
        <v>0.52719033232628398</v>
      </c>
      <c r="J79" s="59">
        <f t="shared" ref="J79:J82" si="55">G79</f>
        <v>156.5</v>
      </c>
      <c r="K79" s="59">
        <f t="shared" ref="K79:K82" si="56">G79*1.05</f>
        <v>164.32500000000002</v>
      </c>
      <c r="L79" s="81">
        <f t="shared" ref="L79:L82" si="57">E79*G79</f>
        <v>1252</v>
      </c>
      <c r="M79" s="59">
        <f t="shared" ref="M79:M82" si="58">K79*E79</f>
        <v>1314.6000000000001</v>
      </c>
      <c r="N79" s="58"/>
      <c r="O79" s="58"/>
      <c r="P79" s="59">
        <f t="shared" ref="P79:P82" si="59">L79</f>
        <v>1252</v>
      </c>
      <c r="Q79" s="59">
        <f t="shared" ref="Q79:Q82" si="60">P79</f>
        <v>1252</v>
      </c>
      <c r="R79" s="60"/>
    </row>
    <row r="80" spans="1:18" x14ac:dyDescent="0.25">
      <c r="B80" s="14" t="s">
        <v>120</v>
      </c>
      <c r="C80" s="40" t="s">
        <v>117</v>
      </c>
      <c r="D80" s="14"/>
      <c r="E80" s="19">
        <v>1</v>
      </c>
      <c r="F80" s="63" t="s">
        <v>120</v>
      </c>
      <c r="G80" s="59">
        <v>542.9</v>
      </c>
      <c r="H80" s="59">
        <v>1086</v>
      </c>
      <c r="I80" s="60">
        <f t="shared" si="54"/>
        <v>0.50009208103130753</v>
      </c>
      <c r="J80" s="59">
        <f t="shared" si="55"/>
        <v>542.9</v>
      </c>
      <c r="K80" s="59">
        <f t="shared" si="56"/>
        <v>570.04499999999996</v>
      </c>
      <c r="L80" s="81">
        <f t="shared" si="57"/>
        <v>542.9</v>
      </c>
      <c r="M80" s="59">
        <f t="shared" si="58"/>
        <v>570.04499999999996</v>
      </c>
      <c r="N80" s="58"/>
      <c r="O80" s="58"/>
      <c r="P80" s="59">
        <f t="shared" si="59"/>
        <v>542.9</v>
      </c>
      <c r="Q80" s="59">
        <f t="shared" si="60"/>
        <v>542.9</v>
      </c>
      <c r="R80" s="60"/>
    </row>
    <row r="81" spans="1:18" x14ac:dyDescent="0.25">
      <c r="B81" s="15" t="s">
        <v>121</v>
      </c>
      <c r="C81" s="15" t="s">
        <v>118</v>
      </c>
      <c r="D81" s="40"/>
      <c r="E81" s="20">
        <v>2</v>
      </c>
      <c r="F81" s="63" t="s">
        <v>121</v>
      </c>
      <c r="G81" s="59">
        <v>152.52000000000001</v>
      </c>
      <c r="H81" s="59">
        <v>305.04000000000002</v>
      </c>
      <c r="I81" s="60">
        <f t="shared" si="54"/>
        <v>0.5</v>
      </c>
      <c r="J81" s="59">
        <f t="shared" si="55"/>
        <v>152.52000000000001</v>
      </c>
      <c r="K81" s="59">
        <f t="shared" si="56"/>
        <v>160.14600000000002</v>
      </c>
      <c r="L81" s="81">
        <f t="shared" si="57"/>
        <v>305.04000000000002</v>
      </c>
      <c r="M81" s="59">
        <f t="shared" si="58"/>
        <v>320.29200000000003</v>
      </c>
      <c r="N81" s="58"/>
      <c r="O81" s="58"/>
      <c r="P81" s="59">
        <f t="shared" si="59"/>
        <v>305.04000000000002</v>
      </c>
      <c r="Q81" s="59">
        <f t="shared" si="60"/>
        <v>305.04000000000002</v>
      </c>
      <c r="R81" s="60"/>
    </row>
    <row r="82" spans="1:18" ht="15.75" thickBot="1" x14ac:dyDescent="0.3">
      <c r="B82" s="12" t="s">
        <v>142</v>
      </c>
      <c r="C82" s="11" t="s">
        <v>115</v>
      </c>
      <c r="D82" s="41"/>
      <c r="E82" s="52">
        <v>30</v>
      </c>
      <c r="F82" s="63" t="s">
        <v>142</v>
      </c>
      <c r="G82" s="59">
        <v>12.17</v>
      </c>
      <c r="H82" s="59">
        <v>24.98</v>
      </c>
      <c r="I82" s="60">
        <f t="shared" si="54"/>
        <v>0.5128102481985588</v>
      </c>
      <c r="J82" s="59">
        <f t="shared" si="55"/>
        <v>12.17</v>
      </c>
      <c r="K82" s="59">
        <f t="shared" si="56"/>
        <v>12.778500000000001</v>
      </c>
      <c r="L82" s="81">
        <f t="shared" si="57"/>
        <v>365.1</v>
      </c>
      <c r="M82" s="59">
        <f t="shared" si="58"/>
        <v>383.35500000000002</v>
      </c>
      <c r="N82" s="58"/>
      <c r="O82" s="58"/>
      <c r="P82" s="59">
        <f t="shared" si="59"/>
        <v>365.1</v>
      </c>
      <c r="Q82" s="59">
        <f t="shared" si="60"/>
        <v>365.1</v>
      </c>
      <c r="R82" s="60"/>
    </row>
    <row r="83" spans="1:18" ht="15.75" thickBot="1" x14ac:dyDescent="0.3">
      <c r="B83" s="175" t="s">
        <v>51</v>
      </c>
      <c r="C83" s="176"/>
      <c r="D83" s="18"/>
      <c r="E83" s="48"/>
      <c r="J83" s="59"/>
      <c r="K83" s="59"/>
      <c r="N83" s="58"/>
      <c r="O83" s="58"/>
    </row>
    <row r="84" spans="1:18" x14ac:dyDescent="0.25">
      <c r="J84" s="59"/>
      <c r="K84" s="59"/>
      <c r="N84" s="58"/>
      <c r="O84" s="58"/>
    </row>
    <row r="85" spans="1:18" x14ac:dyDescent="0.25">
      <c r="J85" s="59"/>
      <c r="K85" s="59"/>
      <c r="N85" s="58"/>
      <c r="O85" s="58"/>
    </row>
    <row r="86" spans="1:18" x14ac:dyDescent="0.25">
      <c r="A86" s="17" t="s">
        <v>67</v>
      </c>
      <c r="B86" s="1" t="s">
        <v>46</v>
      </c>
      <c r="C86" s="1" t="s">
        <v>47</v>
      </c>
      <c r="D86" s="1" t="s">
        <v>48</v>
      </c>
      <c r="E86" s="1" t="s">
        <v>72</v>
      </c>
      <c r="J86" s="59"/>
      <c r="K86" s="59"/>
      <c r="N86" s="58"/>
      <c r="O86" s="58"/>
    </row>
    <row r="87" spans="1:18" s="70" customFormat="1" x14ac:dyDescent="0.25">
      <c r="A87" s="17">
        <v>36</v>
      </c>
      <c r="B87" s="67"/>
      <c r="C87" s="1" t="s">
        <v>161</v>
      </c>
      <c r="D87" s="1"/>
      <c r="E87" s="1"/>
      <c r="F87" s="68"/>
      <c r="G87" s="69">
        <f>SUM(G88:G108)</f>
        <v>44283.119999999995</v>
      </c>
      <c r="H87" s="69">
        <f>SUM(H88:H108)</f>
        <v>59254.464218750014</v>
      </c>
      <c r="J87" s="69">
        <f>SUM(J88:J108)</f>
        <v>44283.119999999995</v>
      </c>
      <c r="K87" s="69">
        <f>SUM(K88:K108)</f>
        <v>46497.275999999998</v>
      </c>
      <c r="L87" s="69">
        <f t="shared" ref="L87:M87" si="61">SUM(L88:L108)</f>
        <v>44634.79</v>
      </c>
      <c r="M87" s="69">
        <f t="shared" si="61"/>
        <v>46866.52949999999</v>
      </c>
      <c r="N87" s="79">
        <f>-PV($N$2,A87,M87/A87)</f>
        <v>46358.782412246488</v>
      </c>
      <c r="O87" s="79">
        <f>ROUND(N87/A87,0)</f>
        <v>1288</v>
      </c>
      <c r="P87" s="69"/>
      <c r="Q87" s="69"/>
    </row>
    <row r="88" spans="1:18" x14ac:dyDescent="0.25">
      <c r="A88" s="17"/>
      <c r="B88" s="100">
        <v>6390498001</v>
      </c>
      <c r="C88" s="100" t="s">
        <v>76</v>
      </c>
      <c r="D88" s="101"/>
      <c r="E88" s="102">
        <v>1</v>
      </c>
      <c r="F88" s="63">
        <v>6390498001</v>
      </c>
      <c r="G88" s="59">
        <v>12639</v>
      </c>
      <c r="H88" s="59">
        <v>16687.429687500004</v>
      </c>
      <c r="I88" s="60">
        <f t="shared" ref="I88:I99" si="62">(H88-G88)/H88</f>
        <v>0.24260355029585814</v>
      </c>
      <c r="J88" s="59">
        <f t="shared" ref="J88:J99" si="63">G88</f>
        <v>12639</v>
      </c>
      <c r="K88" s="59">
        <f t="shared" ref="K88:K100" si="64">G88*(1+$K$2)</f>
        <v>13270.95</v>
      </c>
      <c r="L88" s="81">
        <f t="shared" ref="L88:L100" si="65">E88*G88</f>
        <v>12639</v>
      </c>
      <c r="M88" s="59">
        <f t="shared" ref="M88:M100" si="66">K88*E88</f>
        <v>13270.95</v>
      </c>
      <c r="N88" s="58"/>
      <c r="O88" s="58"/>
      <c r="P88" s="81">
        <f>G88/$A$87</f>
        <v>351.08333333333331</v>
      </c>
      <c r="Q88" s="59">
        <f t="shared" ref="Q88" si="67">P88</f>
        <v>351.08333333333331</v>
      </c>
      <c r="R88" s="60"/>
    </row>
    <row r="89" spans="1:18" x14ac:dyDescent="0.25">
      <c r="A89" s="17"/>
      <c r="B89" s="19">
        <v>6390510001</v>
      </c>
      <c r="C89" s="19" t="s">
        <v>77</v>
      </c>
      <c r="D89" s="23"/>
      <c r="E89" s="27">
        <v>1</v>
      </c>
      <c r="F89" s="63">
        <v>6390510001</v>
      </c>
      <c r="G89" s="59">
        <v>1485</v>
      </c>
      <c r="H89" s="59">
        <v>1960.6640625000002</v>
      </c>
      <c r="I89" s="60">
        <f t="shared" si="62"/>
        <v>0.24260355029585809</v>
      </c>
      <c r="J89" s="59">
        <f t="shared" si="63"/>
        <v>1485</v>
      </c>
      <c r="K89" s="59">
        <f t="shared" si="64"/>
        <v>1559.25</v>
      </c>
      <c r="L89" s="81">
        <f t="shared" si="65"/>
        <v>1485</v>
      </c>
      <c r="M89" s="59">
        <f t="shared" si="66"/>
        <v>1559.25</v>
      </c>
      <c r="N89" s="58"/>
      <c r="O89" s="58"/>
      <c r="P89" s="59">
        <f t="shared" ref="P89:P95" si="68">L89</f>
        <v>1485</v>
      </c>
      <c r="Q89" s="59">
        <v>0</v>
      </c>
      <c r="R89" s="60"/>
    </row>
    <row r="90" spans="1:18" x14ac:dyDescent="0.25">
      <c r="A90" s="17"/>
      <c r="B90" s="19">
        <v>6390544001</v>
      </c>
      <c r="C90" s="19" t="s">
        <v>78</v>
      </c>
      <c r="D90" s="23"/>
      <c r="E90" s="27">
        <v>1</v>
      </c>
      <c r="F90" s="63">
        <v>6390544001</v>
      </c>
      <c r="G90" s="59">
        <v>14.3</v>
      </c>
      <c r="H90" s="59">
        <v>18.880468750000006</v>
      </c>
      <c r="I90" s="60">
        <f t="shared" si="62"/>
        <v>0.24260355029585817</v>
      </c>
      <c r="J90" s="59">
        <f t="shared" si="63"/>
        <v>14.3</v>
      </c>
      <c r="K90" s="59">
        <f t="shared" si="64"/>
        <v>15.015000000000001</v>
      </c>
      <c r="L90" s="81">
        <f t="shared" si="65"/>
        <v>14.3</v>
      </c>
      <c r="M90" s="59">
        <f t="shared" si="66"/>
        <v>15.015000000000001</v>
      </c>
      <c r="N90" s="58"/>
      <c r="O90" s="58"/>
      <c r="P90" s="59">
        <f t="shared" si="68"/>
        <v>14.3</v>
      </c>
      <c r="Q90" s="59">
        <v>0</v>
      </c>
      <c r="R90" s="60"/>
    </row>
    <row r="91" spans="1:18" x14ac:dyDescent="0.25">
      <c r="A91" s="17"/>
      <c r="B91" s="24">
        <v>6390579001</v>
      </c>
      <c r="C91" s="24" t="s">
        <v>79</v>
      </c>
      <c r="D91" s="23"/>
      <c r="E91" s="27">
        <v>1</v>
      </c>
      <c r="F91" s="63">
        <v>6390579001</v>
      </c>
      <c r="G91" s="59">
        <v>15.36</v>
      </c>
      <c r="H91" s="59">
        <v>20.28</v>
      </c>
      <c r="I91" s="60">
        <f t="shared" si="62"/>
        <v>0.24260355029585806</v>
      </c>
      <c r="J91" s="59">
        <f t="shared" si="63"/>
        <v>15.36</v>
      </c>
      <c r="K91" s="59">
        <f t="shared" si="64"/>
        <v>16.128</v>
      </c>
      <c r="L91" s="81">
        <f t="shared" si="65"/>
        <v>15.36</v>
      </c>
      <c r="M91" s="59">
        <f t="shared" si="66"/>
        <v>16.128</v>
      </c>
      <c r="N91" s="58"/>
      <c r="O91" s="58"/>
      <c r="P91" s="59">
        <f t="shared" si="68"/>
        <v>15.36</v>
      </c>
      <c r="Q91" s="59">
        <v>0</v>
      </c>
      <c r="R91" s="60"/>
    </row>
    <row r="92" spans="1:18" x14ac:dyDescent="0.25">
      <c r="A92" s="17"/>
      <c r="B92" s="19">
        <v>5099986001</v>
      </c>
      <c r="C92" s="19" t="s">
        <v>80</v>
      </c>
      <c r="D92" s="23"/>
      <c r="E92" s="27">
        <v>2</v>
      </c>
      <c r="F92" s="63">
        <v>5099986001</v>
      </c>
      <c r="G92" s="59">
        <v>102.64</v>
      </c>
      <c r="H92" s="59">
        <v>135.51687500000003</v>
      </c>
      <c r="I92" s="60">
        <f t="shared" si="62"/>
        <v>0.24260355029585814</v>
      </c>
      <c r="J92" s="59">
        <f t="shared" si="63"/>
        <v>102.64</v>
      </c>
      <c r="K92" s="59">
        <f t="shared" si="64"/>
        <v>107.77200000000001</v>
      </c>
      <c r="L92" s="81">
        <f t="shared" si="65"/>
        <v>205.28</v>
      </c>
      <c r="M92" s="59">
        <f t="shared" si="66"/>
        <v>215.54400000000001</v>
      </c>
      <c r="N92" s="58"/>
      <c r="O92" s="58"/>
      <c r="P92" s="59">
        <f t="shared" si="68"/>
        <v>205.28</v>
      </c>
      <c r="Q92" s="59">
        <v>0</v>
      </c>
      <c r="R92" s="60"/>
    </row>
    <row r="93" spans="1:18" x14ac:dyDescent="0.25">
      <c r="A93" s="17"/>
      <c r="B93" s="19">
        <v>11902997001</v>
      </c>
      <c r="C93" s="19" t="s">
        <v>81</v>
      </c>
      <c r="D93" s="23"/>
      <c r="E93" s="27">
        <v>1</v>
      </c>
      <c r="F93" s="63">
        <v>11902997001</v>
      </c>
      <c r="G93" s="59">
        <v>415.03</v>
      </c>
      <c r="H93" s="59">
        <v>1013.67</v>
      </c>
      <c r="I93" s="60">
        <f t="shared" si="62"/>
        <v>0.59056694979628477</v>
      </c>
      <c r="J93" s="59">
        <f t="shared" si="63"/>
        <v>415.03</v>
      </c>
      <c r="K93" s="59">
        <f t="shared" si="64"/>
        <v>435.78149999999999</v>
      </c>
      <c r="L93" s="81">
        <f t="shared" si="65"/>
        <v>415.03</v>
      </c>
      <c r="M93" s="59">
        <f t="shared" si="66"/>
        <v>435.78149999999999</v>
      </c>
      <c r="N93" s="58"/>
      <c r="O93" s="58"/>
      <c r="P93" s="59">
        <f t="shared" si="68"/>
        <v>415.03</v>
      </c>
      <c r="Q93" s="59">
        <v>0</v>
      </c>
      <c r="R93" s="60"/>
    </row>
    <row r="94" spans="1:18" x14ac:dyDescent="0.25">
      <c r="A94" s="17"/>
      <c r="B94" s="19">
        <v>12025728001</v>
      </c>
      <c r="C94" s="19" t="s">
        <v>82</v>
      </c>
      <c r="D94" s="23"/>
      <c r="E94" s="27">
        <v>1</v>
      </c>
      <c r="F94" s="63">
        <v>12025728001</v>
      </c>
      <c r="G94" s="59">
        <v>27.94</v>
      </c>
      <c r="H94" s="59">
        <v>57.92</v>
      </c>
      <c r="I94" s="60">
        <f t="shared" si="62"/>
        <v>0.51761049723756902</v>
      </c>
      <c r="J94" s="59">
        <f t="shared" si="63"/>
        <v>27.94</v>
      </c>
      <c r="K94" s="59">
        <f t="shared" si="64"/>
        <v>29.337000000000003</v>
      </c>
      <c r="L94" s="81">
        <f t="shared" si="65"/>
        <v>27.94</v>
      </c>
      <c r="M94" s="59">
        <f t="shared" si="66"/>
        <v>29.337000000000003</v>
      </c>
      <c r="N94" s="58"/>
      <c r="O94" s="58"/>
      <c r="P94" s="59">
        <f t="shared" si="68"/>
        <v>27.94</v>
      </c>
      <c r="Q94" s="59">
        <v>0</v>
      </c>
      <c r="R94" s="60"/>
    </row>
    <row r="95" spans="1:18" x14ac:dyDescent="0.25">
      <c r="A95" s="17"/>
      <c r="B95" s="19">
        <v>12025574001</v>
      </c>
      <c r="C95" s="19" t="s">
        <v>83</v>
      </c>
      <c r="D95" s="23"/>
      <c r="E95" s="27">
        <v>1</v>
      </c>
      <c r="F95" s="63">
        <v>12025574001</v>
      </c>
      <c r="G95" s="59">
        <v>139.29</v>
      </c>
      <c r="H95" s="59">
        <v>217.22</v>
      </c>
      <c r="I95" s="60">
        <f t="shared" si="62"/>
        <v>0.35876070343430627</v>
      </c>
      <c r="J95" s="59">
        <f t="shared" si="63"/>
        <v>139.29</v>
      </c>
      <c r="K95" s="59">
        <f t="shared" si="64"/>
        <v>146.25450000000001</v>
      </c>
      <c r="L95" s="81">
        <f t="shared" si="65"/>
        <v>139.29</v>
      </c>
      <c r="M95" s="59">
        <f t="shared" si="66"/>
        <v>146.25450000000001</v>
      </c>
      <c r="N95" s="58"/>
      <c r="O95" s="58"/>
      <c r="P95" s="59">
        <f t="shared" si="68"/>
        <v>139.29</v>
      </c>
      <c r="Q95" s="59">
        <v>0</v>
      </c>
      <c r="R95" s="60"/>
    </row>
    <row r="96" spans="1:18" x14ac:dyDescent="0.25">
      <c r="B96" s="98">
        <v>6390501001</v>
      </c>
      <c r="C96" s="99" t="s">
        <v>84</v>
      </c>
      <c r="D96" s="95"/>
      <c r="E96" s="89">
        <v>1</v>
      </c>
      <c r="F96" s="63">
        <v>6390501001</v>
      </c>
      <c r="G96" s="59">
        <v>27594</v>
      </c>
      <c r="H96" s="59">
        <v>36432.703125000007</v>
      </c>
      <c r="I96" s="60">
        <f t="shared" si="62"/>
        <v>0.24260355029585814</v>
      </c>
      <c r="J96" s="59">
        <f t="shared" si="63"/>
        <v>27594</v>
      </c>
      <c r="K96" s="59">
        <f t="shared" si="64"/>
        <v>28973.7</v>
      </c>
      <c r="L96" s="81">
        <f t="shared" si="65"/>
        <v>27594</v>
      </c>
      <c r="M96" s="59">
        <f t="shared" si="66"/>
        <v>28973.7</v>
      </c>
      <c r="N96" s="58"/>
      <c r="O96" s="58"/>
      <c r="P96" s="81">
        <f>G96/$A$87</f>
        <v>766.5</v>
      </c>
      <c r="Q96" s="59">
        <f t="shared" ref="Q96" si="69">P96</f>
        <v>766.5</v>
      </c>
      <c r="R96" s="60"/>
    </row>
    <row r="97" spans="1:18" x14ac:dyDescent="0.25">
      <c r="B97" s="26">
        <v>7127162001</v>
      </c>
      <c r="C97" s="25" t="s">
        <v>85</v>
      </c>
      <c r="D97" s="14"/>
      <c r="E97" s="19">
        <v>1</v>
      </c>
      <c r="F97" s="63">
        <v>7127162001</v>
      </c>
      <c r="G97" s="59">
        <v>76.67</v>
      </c>
      <c r="H97" s="59">
        <v>101.22835937500003</v>
      </c>
      <c r="I97" s="60">
        <f t="shared" si="62"/>
        <v>0.24260355029585814</v>
      </c>
      <c r="J97" s="59">
        <f t="shared" si="63"/>
        <v>76.67</v>
      </c>
      <c r="K97" s="59">
        <f t="shared" si="64"/>
        <v>80.503500000000003</v>
      </c>
      <c r="L97" s="81">
        <f t="shared" si="65"/>
        <v>76.67</v>
      </c>
      <c r="M97" s="59">
        <f t="shared" si="66"/>
        <v>80.503500000000003</v>
      </c>
      <c r="N97" s="58"/>
      <c r="O97" s="58"/>
      <c r="P97" s="59">
        <f t="shared" ref="P97:P100" si="70">L97</f>
        <v>76.67</v>
      </c>
      <c r="Q97" s="59">
        <v>0</v>
      </c>
      <c r="R97" s="60"/>
    </row>
    <row r="98" spans="1:18" x14ac:dyDescent="0.25">
      <c r="B98" s="26">
        <v>7127189001</v>
      </c>
      <c r="C98" s="25" t="s">
        <v>86</v>
      </c>
      <c r="D98" s="15"/>
      <c r="E98" s="20">
        <v>1</v>
      </c>
      <c r="F98" s="63">
        <v>7127189001</v>
      </c>
      <c r="G98" s="59">
        <v>106.37</v>
      </c>
      <c r="H98" s="59">
        <v>140.44164062500002</v>
      </c>
      <c r="I98" s="60">
        <f t="shared" si="62"/>
        <v>0.24260355029585806</v>
      </c>
      <c r="J98" s="59">
        <f t="shared" si="63"/>
        <v>106.37</v>
      </c>
      <c r="K98" s="59">
        <f t="shared" si="64"/>
        <v>111.6885</v>
      </c>
      <c r="L98" s="81">
        <f t="shared" si="65"/>
        <v>106.37</v>
      </c>
      <c r="M98" s="59">
        <f t="shared" si="66"/>
        <v>111.6885</v>
      </c>
      <c r="N98" s="58"/>
      <c r="O98" s="58"/>
      <c r="P98" s="59">
        <f t="shared" si="70"/>
        <v>106.37</v>
      </c>
      <c r="Q98" s="59">
        <v>0</v>
      </c>
      <c r="R98" s="60"/>
    </row>
    <row r="99" spans="1:18" x14ac:dyDescent="0.25">
      <c r="B99" s="14" t="s">
        <v>149</v>
      </c>
      <c r="C99" s="14" t="s">
        <v>87</v>
      </c>
      <c r="D99" s="14"/>
      <c r="E99" s="19">
        <v>1</v>
      </c>
      <c r="F99" s="63">
        <v>7418183001</v>
      </c>
      <c r="G99" s="59">
        <v>820</v>
      </c>
      <c r="H99" s="59">
        <v>866</v>
      </c>
      <c r="I99" s="60">
        <f t="shared" si="62"/>
        <v>5.3117782909930716E-2</v>
      </c>
      <c r="J99" s="59">
        <f t="shared" si="63"/>
        <v>820</v>
      </c>
      <c r="K99" s="59">
        <f t="shared" si="64"/>
        <v>861</v>
      </c>
      <c r="L99" s="81">
        <f t="shared" si="65"/>
        <v>820</v>
      </c>
      <c r="M99" s="59">
        <f t="shared" si="66"/>
        <v>861</v>
      </c>
      <c r="N99" s="58"/>
      <c r="O99" s="58"/>
      <c r="P99" s="59">
        <f t="shared" si="70"/>
        <v>820</v>
      </c>
      <c r="Q99" s="59">
        <v>0</v>
      </c>
    </row>
    <row r="100" spans="1:18" x14ac:dyDescent="0.25">
      <c r="B100" s="14">
        <v>5551471001</v>
      </c>
      <c r="C100" s="14" t="s">
        <v>74</v>
      </c>
      <c r="D100" s="14"/>
      <c r="E100" s="19">
        <v>1</v>
      </c>
      <c r="F100" s="63">
        <v>5551471001</v>
      </c>
      <c r="G100" s="59">
        <v>147.94999999999999</v>
      </c>
      <c r="H100" s="59">
        <v>202.73</v>
      </c>
      <c r="I100" s="60">
        <f>(H100-G100)/H100</f>
        <v>0.27021161150298428</v>
      </c>
      <c r="J100" s="59">
        <f>G100</f>
        <v>147.94999999999999</v>
      </c>
      <c r="K100" s="59">
        <f t="shared" si="64"/>
        <v>155.3475</v>
      </c>
      <c r="L100" s="81">
        <f t="shared" si="65"/>
        <v>147.94999999999999</v>
      </c>
      <c r="M100" s="59">
        <f t="shared" si="66"/>
        <v>155.3475</v>
      </c>
      <c r="N100" s="58"/>
      <c r="O100" s="58"/>
      <c r="P100" s="59">
        <f t="shared" si="70"/>
        <v>147.94999999999999</v>
      </c>
      <c r="Q100" s="59">
        <v>0</v>
      </c>
      <c r="R100" s="60"/>
    </row>
    <row r="101" spans="1:18" x14ac:dyDescent="0.25">
      <c r="B101" s="43" t="s">
        <v>46</v>
      </c>
      <c r="C101" s="51" t="s">
        <v>47</v>
      </c>
      <c r="D101" s="51"/>
      <c r="E101" s="53"/>
      <c r="J101" s="59"/>
      <c r="K101" s="59"/>
      <c r="N101" s="58"/>
      <c r="O101" s="58"/>
    </row>
    <row r="102" spans="1:18" x14ac:dyDescent="0.25">
      <c r="B102" s="14">
        <v>6274269001</v>
      </c>
      <c r="C102" s="14" t="s">
        <v>125</v>
      </c>
      <c r="D102" s="14"/>
      <c r="E102" s="19">
        <v>2</v>
      </c>
      <c r="F102" s="63">
        <v>6274269001</v>
      </c>
      <c r="G102" s="59">
        <v>17.8</v>
      </c>
      <c r="H102" s="59">
        <v>35.6</v>
      </c>
      <c r="I102" s="60">
        <f t="shared" ref="I102:I108" si="71">(H102-G102)/H102</f>
        <v>0.5</v>
      </c>
      <c r="J102" s="59">
        <f t="shared" ref="J102:J108" si="72">G102</f>
        <v>17.8</v>
      </c>
      <c r="K102" s="59">
        <f t="shared" ref="K102:K108" si="73">G102*(1+$K$2)</f>
        <v>18.690000000000001</v>
      </c>
      <c r="L102" s="81">
        <f t="shared" ref="L102:L108" si="74">E102*G102</f>
        <v>35.6</v>
      </c>
      <c r="M102" s="59">
        <f t="shared" ref="M102:M108" si="75">K102*E102</f>
        <v>37.380000000000003</v>
      </c>
      <c r="N102" s="58"/>
      <c r="O102" s="58"/>
      <c r="P102" s="59">
        <f t="shared" ref="P102:P108" si="76">L102</f>
        <v>35.6</v>
      </c>
      <c r="Q102" s="59">
        <v>0</v>
      </c>
      <c r="R102" s="60"/>
    </row>
    <row r="103" spans="1:18" x14ac:dyDescent="0.25">
      <c r="B103" s="14">
        <v>7165790001</v>
      </c>
      <c r="C103" s="14" t="s">
        <v>126</v>
      </c>
      <c r="D103" s="14"/>
      <c r="E103" s="19">
        <v>1</v>
      </c>
      <c r="F103" s="63">
        <v>7165790001</v>
      </c>
      <c r="G103" s="59">
        <v>209.4</v>
      </c>
      <c r="H103" s="59">
        <v>418.8</v>
      </c>
      <c r="I103" s="60">
        <f t="shared" si="71"/>
        <v>0.5</v>
      </c>
      <c r="J103" s="59">
        <f t="shared" si="72"/>
        <v>209.4</v>
      </c>
      <c r="K103" s="59">
        <f t="shared" si="73"/>
        <v>219.87</v>
      </c>
      <c r="L103" s="81">
        <f t="shared" si="74"/>
        <v>209.4</v>
      </c>
      <c r="M103" s="59">
        <f t="shared" si="75"/>
        <v>219.87</v>
      </c>
      <c r="N103" s="58"/>
      <c r="O103" s="58"/>
      <c r="P103" s="59">
        <f t="shared" si="76"/>
        <v>209.4</v>
      </c>
      <c r="Q103" s="59">
        <v>0</v>
      </c>
      <c r="R103" s="60"/>
    </row>
    <row r="104" spans="1:18" x14ac:dyDescent="0.25">
      <c r="B104" s="14">
        <v>6274196001</v>
      </c>
      <c r="C104" s="14" t="s">
        <v>127</v>
      </c>
      <c r="D104" s="14"/>
      <c r="E104" s="19">
        <v>1</v>
      </c>
      <c r="F104" s="63">
        <v>6274196001</v>
      </c>
      <c r="G104" s="59">
        <v>223.1</v>
      </c>
      <c r="H104" s="59">
        <v>446.2</v>
      </c>
      <c r="I104" s="60">
        <f t="shared" si="71"/>
        <v>0.5</v>
      </c>
      <c r="J104" s="59">
        <f t="shared" si="72"/>
        <v>223.1</v>
      </c>
      <c r="K104" s="59">
        <f t="shared" si="73"/>
        <v>234.255</v>
      </c>
      <c r="L104" s="81">
        <f t="shared" si="74"/>
        <v>223.1</v>
      </c>
      <c r="M104" s="59">
        <f t="shared" si="75"/>
        <v>234.255</v>
      </c>
      <c r="N104" s="58"/>
      <c r="O104" s="58"/>
      <c r="P104" s="59">
        <f t="shared" si="76"/>
        <v>223.1</v>
      </c>
      <c r="Q104" s="59">
        <v>0</v>
      </c>
      <c r="R104" s="60"/>
    </row>
    <row r="105" spans="1:18" x14ac:dyDescent="0.25">
      <c r="B105" s="14">
        <v>7165471001</v>
      </c>
      <c r="C105" s="14" t="s">
        <v>128</v>
      </c>
      <c r="D105" s="14"/>
      <c r="E105" s="19">
        <v>1</v>
      </c>
      <c r="F105" s="63">
        <v>7165471001</v>
      </c>
      <c r="G105" s="59">
        <v>214.1</v>
      </c>
      <c r="H105" s="59">
        <v>428.2</v>
      </c>
      <c r="I105" s="60">
        <f t="shared" si="71"/>
        <v>0.5</v>
      </c>
      <c r="J105" s="59">
        <f t="shared" si="72"/>
        <v>214.1</v>
      </c>
      <c r="K105" s="59">
        <f t="shared" si="73"/>
        <v>224.80500000000001</v>
      </c>
      <c r="L105" s="81">
        <f t="shared" si="74"/>
        <v>214.1</v>
      </c>
      <c r="M105" s="59">
        <f t="shared" si="75"/>
        <v>224.80500000000001</v>
      </c>
      <c r="N105" s="58"/>
      <c r="O105" s="58"/>
      <c r="P105" s="59">
        <f t="shared" si="76"/>
        <v>214.1</v>
      </c>
      <c r="Q105" s="59">
        <v>0</v>
      </c>
      <c r="R105" s="60"/>
    </row>
    <row r="106" spans="1:18" x14ac:dyDescent="0.25">
      <c r="B106" s="14">
        <v>7315716001</v>
      </c>
      <c r="C106" s="14" t="s">
        <v>129</v>
      </c>
      <c r="D106" s="14"/>
      <c r="E106" s="19">
        <v>1</v>
      </c>
      <c r="F106" s="63">
        <v>7315716001</v>
      </c>
      <c r="G106" s="59">
        <v>9</v>
      </c>
      <c r="H106" s="59">
        <v>18</v>
      </c>
      <c r="I106" s="60">
        <f t="shared" si="71"/>
        <v>0.5</v>
      </c>
      <c r="J106" s="59">
        <f t="shared" si="72"/>
        <v>9</v>
      </c>
      <c r="K106" s="59">
        <f t="shared" si="73"/>
        <v>9.4500000000000011</v>
      </c>
      <c r="L106" s="81">
        <f t="shared" si="74"/>
        <v>9</v>
      </c>
      <c r="M106" s="59">
        <f t="shared" si="75"/>
        <v>9.4500000000000011</v>
      </c>
      <c r="N106" s="58"/>
      <c r="O106" s="58"/>
      <c r="P106" s="59">
        <f t="shared" si="76"/>
        <v>9</v>
      </c>
      <c r="Q106" s="59">
        <v>0</v>
      </c>
      <c r="R106" s="60"/>
    </row>
    <row r="107" spans="1:18" x14ac:dyDescent="0.25">
      <c r="B107" s="14">
        <v>7165455001</v>
      </c>
      <c r="C107" s="14" t="s">
        <v>130</v>
      </c>
      <c r="D107" s="14"/>
      <c r="E107" s="19">
        <v>1</v>
      </c>
      <c r="F107" s="63">
        <v>7165455001</v>
      </c>
      <c r="G107" s="59">
        <v>14</v>
      </c>
      <c r="H107" s="59">
        <v>28</v>
      </c>
      <c r="I107" s="60">
        <f t="shared" si="71"/>
        <v>0.5</v>
      </c>
      <c r="J107" s="59">
        <f t="shared" si="72"/>
        <v>14</v>
      </c>
      <c r="K107" s="59">
        <f t="shared" si="73"/>
        <v>14.700000000000001</v>
      </c>
      <c r="L107" s="81">
        <f t="shared" si="74"/>
        <v>14</v>
      </c>
      <c r="M107" s="59">
        <f t="shared" si="75"/>
        <v>14.700000000000001</v>
      </c>
      <c r="N107" s="58"/>
      <c r="O107" s="58"/>
      <c r="P107" s="59">
        <f t="shared" si="76"/>
        <v>14</v>
      </c>
      <c r="Q107" s="59">
        <v>0</v>
      </c>
      <c r="R107" s="60"/>
    </row>
    <row r="108" spans="1:18" ht="15.75" thickBot="1" x14ac:dyDescent="0.3">
      <c r="B108" s="12" t="s">
        <v>142</v>
      </c>
      <c r="C108" s="11" t="s">
        <v>115</v>
      </c>
      <c r="D108" s="41"/>
      <c r="E108" s="19">
        <v>20</v>
      </c>
      <c r="F108" s="63" t="s">
        <v>142</v>
      </c>
      <c r="G108" s="59">
        <v>12.17</v>
      </c>
      <c r="H108" s="59">
        <v>24.98</v>
      </c>
      <c r="I108" s="60">
        <f t="shared" si="71"/>
        <v>0.5128102481985588</v>
      </c>
      <c r="J108" s="59">
        <f t="shared" si="72"/>
        <v>12.17</v>
      </c>
      <c r="K108" s="59">
        <f t="shared" si="73"/>
        <v>12.778500000000001</v>
      </c>
      <c r="L108" s="81">
        <f t="shared" si="74"/>
        <v>243.4</v>
      </c>
      <c r="M108" s="59">
        <f t="shared" si="75"/>
        <v>255.57000000000002</v>
      </c>
      <c r="N108" s="58"/>
      <c r="O108" s="58"/>
      <c r="P108" s="59">
        <f t="shared" si="76"/>
        <v>243.4</v>
      </c>
      <c r="Q108" s="59">
        <v>0</v>
      </c>
      <c r="R108" s="60"/>
    </row>
    <row r="109" spans="1:18" ht="15.75" thickBot="1" x14ac:dyDescent="0.3">
      <c r="B109" s="175" t="s">
        <v>51</v>
      </c>
      <c r="C109" s="176"/>
      <c r="D109" s="18"/>
      <c r="J109" s="59"/>
      <c r="K109" s="59"/>
      <c r="N109" s="58"/>
      <c r="O109" s="58"/>
    </row>
    <row r="110" spans="1:18" x14ac:dyDescent="0.25">
      <c r="J110" s="59"/>
      <c r="K110" s="59"/>
      <c r="N110" s="58"/>
      <c r="O110" s="58"/>
    </row>
    <row r="111" spans="1:18" x14ac:dyDescent="0.25">
      <c r="J111" s="59"/>
      <c r="K111" s="59"/>
      <c r="N111" s="58"/>
      <c r="O111" s="58"/>
    </row>
    <row r="112" spans="1:18" x14ac:dyDescent="0.25">
      <c r="A112" s="17" t="s">
        <v>69</v>
      </c>
      <c r="B112" s="1" t="s">
        <v>46</v>
      </c>
      <c r="C112" s="1" t="s">
        <v>47</v>
      </c>
      <c r="D112" s="1" t="s">
        <v>48</v>
      </c>
      <c r="E112" s="1" t="s">
        <v>72</v>
      </c>
      <c r="J112" s="59"/>
      <c r="K112" s="59"/>
      <c r="N112" s="58"/>
      <c r="O112" s="58"/>
    </row>
    <row r="113" spans="1:18" s="70" customFormat="1" x14ac:dyDescent="0.25">
      <c r="A113" s="17">
        <v>36</v>
      </c>
      <c r="B113" s="1"/>
      <c r="C113" s="1" t="s">
        <v>161</v>
      </c>
      <c r="D113" s="1"/>
      <c r="E113" s="1"/>
      <c r="F113" s="68"/>
      <c r="G113" s="69">
        <f>SUM(G114:G116)</f>
        <v>14396.3</v>
      </c>
      <c r="H113" s="69">
        <f>SUM(H114:H116)</f>
        <v>16932.03</v>
      </c>
      <c r="J113" s="69">
        <f>SUM(J114:J116)</f>
        <v>14396.3</v>
      </c>
      <c r="K113" s="69">
        <f>SUM(K114:K116)</f>
        <v>15116.115</v>
      </c>
      <c r="L113" s="69">
        <f t="shared" ref="L113:M113" si="77">SUM(L114:L116)</f>
        <v>14396.3</v>
      </c>
      <c r="M113" s="69">
        <f t="shared" si="77"/>
        <v>15116.115</v>
      </c>
      <c r="N113" s="79">
        <f>-PV($N$2,A113,M113/A113)</f>
        <v>14952.348588207189</v>
      </c>
      <c r="O113" s="79">
        <f>ROUND(N113/A113,0)</f>
        <v>415</v>
      </c>
      <c r="P113" s="69"/>
      <c r="Q113" s="69"/>
    </row>
    <row r="114" spans="1:18" x14ac:dyDescent="0.25">
      <c r="B114" s="95">
        <v>5122287001</v>
      </c>
      <c r="C114" s="95" t="s">
        <v>88</v>
      </c>
      <c r="D114" s="95"/>
      <c r="E114" s="89">
        <v>1</v>
      </c>
      <c r="F114" s="63">
        <v>5122287001</v>
      </c>
      <c r="G114" s="59">
        <v>13555</v>
      </c>
      <c r="H114" s="59">
        <v>15494.67</v>
      </c>
      <c r="I114" s="60">
        <f t="shared" ref="I114:I116" si="78">(H114-G114)/H114</f>
        <v>0.12518304681545331</v>
      </c>
      <c r="J114" s="59">
        <f t="shared" ref="J114:J116" si="79">G114</f>
        <v>13555</v>
      </c>
      <c r="K114" s="59">
        <f t="shared" ref="K114:K116" si="80">G114*(1+$K$2)</f>
        <v>14232.75</v>
      </c>
      <c r="L114" s="81">
        <f t="shared" ref="L114:L116" si="81">E114*G114</f>
        <v>13555</v>
      </c>
      <c r="M114" s="59">
        <f t="shared" ref="M114:M116" si="82">K114*E114</f>
        <v>14232.75</v>
      </c>
      <c r="N114" s="58"/>
      <c r="O114" s="58"/>
      <c r="P114" s="81">
        <f>G114/$A$113</f>
        <v>376.52777777777777</v>
      </c>
      <c r="Q114" s="59">
        <f t="shared" ref="Q114" si="83">P114</f>
        <v>376.52777777777777</v>
      </c>
      <c r="R114" s="60"/>
    </row>
    <row r="115" spans="1:18" x14ac:dyDescent="0.25">
      <c r="B115" s="14">
        <v>5342481001</v>
      </c>
      <c r="C115" s="14" t="s">
        <v>89</v>
      </c>
      <c r="D115" s="14"/>
      <c r="E115" s="19">
        <v>1</v>
      </c>
      <c r="F115" s="63">
        <v>5342481001</v>
      </c>
      <c r="G115" s="59">
        <v>541.29999999999995</v>
      </c>
      <c r="H115" s="59">
        <v>987.36</v>
      </c>
      <c r="I115" s="60">
        <f t="shared" si="78"/>
        <v>0.45177037757251665</v>
      </c>
      <c r="J115" s="59">
        <f t="shared" si="79"/>
        <v>541.29999999999995</v>
      </c>
      <c r="K115" s="59">
        <f t="shared" si="80"/>
        <v>568.36500000000001</v>
      </c>
      <c r="L115" s="81">
        <f t="shared" si="81"/>
        <v>541.29999999999995</v>
      </c>
      <c r="M115" s="59">
        <f t="shared" si="82"/>
        <v>568.36500000000001</v>
      </c>
      <c r="N115" s="58"/>
      <c r="O115" s="58"/>
      <c r="P115" s="59">
        <f t="shared" ref="P115:P116" si="84">L115</f>
        <v>541.29999999999995</v>
      </c>
      <c r="Q115" s="59">
        <v>0</v>
      </c>
      <c r="R115" s="60"/>
    </row>
    <row r="116" spans="1:18" ht="15.75" thickBot="1" x14ac:dyDescent="0.3">
      <c r="B116" s="14"/>
      <c r="C116" s="14" t="s">
        <v>90</v>
      </c>
      <c r="D116" s="14"/>
      <c r="E116" s="19">
        <v>1</v>
      </c>
      <c r="G116" s="59">
        <v>300</v>
      </c>
      <c r="H116" s="59">
        <v>450</v>
      </c>
      <c r="I116" s="60">
        <f t="shared" si="78"/>
        <v>0.33333333333333331</v>
      </c>
      <c r="J116" s="59">
        <f t="shared" si="79"/>
        <v>300</v>
      </c>
      <c r="K116" s="59">
        <f t="shared" si="80"/>
        <v>315</v>
      </c>
      <c r="L116" s="81">
        <f t="shared" si="81"/>
        <v>300</v>
      </c>
      <c r="M116" s="59">
        <f t="shared" si="82"/>
        <v>315</v>
      </c>
      <c r="N116" s="58"/>
      <c r="O116" s="58"/>
      <c r="P116" s="59">
        <f t="shared" si="84"/>
        <v>300</v>
      </c>
      <c r="Q116" s="59">
        <v>0</v>
      </c>
    </row>
    <row r="117" spans="1:18" ht="15.75" thickBot="1" x14ac:dyDescent="0.3">
      <c r="B117" s="175" t="s">
        <v>51</v>
      </c>
      <c r="C117" s="176"/>
      <c r="D117" s="18"/>
      <c r="J117" s="59"/>
      <c r="K117" s="59"/>
      <c r="N117" s="58"/>
      <c r="O117" s="58"/>
    </row>
    <row r="118" spans="1:18" x14ac:dyDescent="0.25">
      <c r="J118" s="59"/>
      <c r="K118" s="59"/>
      <c r="N118" s="58"/>
      <c r="O118" s="58"/>
    </row>
    <row r="119" spans="1:18" x14ac:dyDescent="0.25">
      <c r="J119" s="59"/>
      <c r="K119" s="59"/>
      <c r="N119" s="58"/>
      <c r="O119" s="58"/>
    </row>
    <row r="120" spans="1:18" x14ac:dyDescent="0.25">
      <c r="A120" s="17" t="s">
        <v>70</v>
      </c>
      <c r="B120" s="1" t="s">
        <v>46</v>
      </c>
      <c r="C120" s="1" t="s">
        <v>47</v>
      </c>
      <c r="D120" s="1" t="s">
        <v>48</v>
      </c>
      <c r="E120" s="1" t="s">
        <v>72</v>
      </c>
      <c r="J120" s="59"/>
      <c r="K120" s="59"/>
      <c r="N120" s="58"/>
      <c r="O120" s="58"/>
    </row>
    <row r="121" spans="1:18" s="70" customFormat="1" x14ac:dyDescent="0.25">
      <c r="A121" s="17">
        <v>36</v>
      </c>
      <c r="B121" s="1"/>
      <c r="C121" s="1" t="s">
        <v>161</v>
      </c>
      <c r="D121" s="1"/>
      <c r="E121" s="1"/>
      <c r="F121" s="68"/>
      <c r="G121" s="69">
        <f>SUM(G122:G125)</f>
        <v>472.33</v>
      </c>
      <c r="H121" s="69">
        <f>SUM(H122:H125)</f>
        <v>1042.6300000000001</v>
      </c>
      <c r="J121" s="69">
        <f>SUM(J122:J125)</f>
        <v>472.33</v>
      </c>
      <c r="K121" s="69">
        <f>SUM(K122:K125)</f>
        <v>495.94650000000001</v>
      </c>
      <c r="L121" s="69">
        <f t="shared" ref="L121:M121" si="85">SUM(L122:L125)</f>
        <v>1889.32</v>
      </c>
      <c r="M121" s="69">
        <f t="shared" si="85"/>
        <v>1983.7860000000001</v>
      </c>
      <c r="N121" s="79">
        <f>-PV($N$2,A121,M121/A121)</f>
        <v>1962.2938695825737</v>
      </c>
      <c r="O121" s="79">
        <f>ROUND(N121/A121,0)</f>
        <v>55</v>
      </c>
      <c r="P121" s="69"/>
      <c r="Q121" s="69"/>
    </row>
    <row r="122" spans="1:18" x14ac:dyDescent="0.25">
      <c r="B122" s="14" t="s">
        <v>150</v>
      </c>
      <c r="C122" s="14" t="s">
        <v>91</v>
      </c>
      <c r="D122" s="14"/>
      <c r="E122" s="19">
        <v>4</v>
      </c>
      <c r="F122" s="63" t="s">
        <v>150</v>
      </c>
      <c r="G122" s="59">
        <v>21.46</v>
      </c>
      <c r="H122" s="59">
        <v>30.41</v>
      </c>
      <c r="I122" s="60">
        <f t="shared" ref="I122:I125" si="86">(H122-G122)/H122</f>
        <v>0.29431108188096017</v>
      </c>
      <c r="J122" s="59">
        <f t="shared" ref="J122:J125" si="87">G122</f>
        <v>21.46</v>
      </c>
      <c r="K122" s="59">
        <f t="shared" ref="K122:K125" si="88">G122*(1+$K$2)</f>
        <v>22.533000000000001</v>
      </c>
      <c r="L122" s="81">
        <f t="shared" ref="L122:L125" si="89">E122*G122</f>
        <v>85.84</v>
      </c>
      <c r="M122" s="59">
        <f t="shared" ref="M122:M125" si="90">K122*E122</f>
        <v>90.132000000000005</v>
      </c>
      <c r="N122" s="58"/>
      <c r="O122" s="58"/>
      <c r="P122" s="59">
        <f t="shared" ref="P122:P125" si="91">L122</f>
        <v>85.84</v>
      </c>
      <c r="Q122" s="59">
        <v>0</v>
      </c>
      <c r="R122" s="60"/>
    </row>
    <row r="123" spans="1:18" x14ac:dyDescent="0.25">
      <c r="B123" s="14" t="s">
        <v>151</v>
      </c>
      <c r="C123" s="14" t="s">
        <v>92</v>
      </c>
      <c r="D123" s="14"/>
      <c r="E123" s="19">
        <v>4</v>
      </c>
      <c r="F123" s="63" t="s">
        <v>151</v>
      </c>
      <c r="G123" s="59">
        <v>15.07</v>
      </c>
      <c r="H123" s="59">
        <v>27.51</v>
      </c>
      <c r="I123" s="60">
        <f t="shared" si="86"/>
        <v>0.45219920029080335</v>
      </c>
      <c r="J123" s="59">
        <f t="shared" si="87"/>
        <v>15.07</v>
      </c>
      <c r="K123" s="59">
        <f t="shared" si="88"/>
        <v>15.823500000000001</v>
      </c>
      <c r="L123" s="81">
        <f t="shared" si="89"/>
        <v>60.28</v>
      </c>
      <c r="M123" s="59">
        <f t="shared" si="90"/>
        <v>63.294000000000004</v>
      </c>
      <c r="N123" s="58"/>
      <c r="O123" s="58"/>
      <c r="P123" s="59">
        <f t="shared" si="91"/>
        <v>60.28</v>
      </c>
      <c r="Q123" s="59">
        <v>0</v>
      </c>
      <c r="R123" s="60"/>
    </row>
    <row r="124" spans="1:18" x14ac:dyDescent="0.25">
      <c r="B124" s="14" t="s">
        <v>152</v>
      </c>
      <c r="C124" s="14" t="s">
        <v>93</v>
      </c>
      <c r="D124" s="14"/>
      <c r="E124" s="19">
        <v>4</v>
      </c>
      <c r="F124" s="63" t="s">
        <v>152</v>
      </c>
      <c r="G124" s="59">
        <v>126.27</v>
      </c>
      <c r="H124" s="59">
        <v>260.66000000000003</v>
      </c>
      <c r="I124" s="60">
        <f t="shared" si="86"/>
        <v>0.51557584592956351</v>
      </c>
      <c r="J124" s="59">
        <f t="shared" si="87"/>
        <v>126.27</v>
      </c>
      <c r="K124" s="59">
        <f t="shared" si="88"/>
        <v>132.58350000000002</v>
      </c>
      <c r="L124" s="81">
        <f t="shared" si="89"/>
        <v>505.08</v>
      </c>
      <c r="M124" s="59">
        <f t="shared" si="90"/>
        <v>530.33400000000006</v>
      </c>
      <c r="N124" s="58"/>
      <c r="O124" s="58"/>
      <c r="P124" s="59">
        <f t="shared" si="91"/>
        <v>505.08</v>
      </c>
      <c r="Q124" s="59">
        <v>0</v>
      </c>
      <c r="R124" s="60"/>
    </row>
    <row r="125" spans="1:18" ht="15.75" thickBot="1" x14ac:dyDescent="0.3">
      <c r="B125" s="14" t="s">
        <v>153</v>
      </c>
      <c r="C125" s="14" t="s">
        <v>94</v>
      </c>
      <c r="D125" s="14"/>
      <c r="E125" s="19">
        <v>4</v>
      </c>
      <c r="F125" s="63" t="s">
        <v>153</v>
      </c>
      <c r="G125" s="59">
        <v>309.52999999999997</v>
      </c>
      <c r="H125" s="59">
        <v>724.05</v>
      </c>
      <c r="I125" s="60">
        <f t="shared" si="86"/>
        <v>0.5725018990401215</v>
      </c>
      <c r="J125" s="59">
        <f t="shared" si="87"/>
        <v>309.52999999999997</v>
      </c>
      <c r="K125" s="59">
        <f t="shared" si="88"/>
        <v>325.00649999999996</v>
      </c>
      <c r="L125" s="81">
        <f t="shared" si="89"/>
        <v>1238.1199999999999</v>
      </c>
      <c r="M125" s="59">
        <f t="shared" si="90"/>
        <v>1300.0259999999998</v>
      </c>
      <c r="N125" s="58"/>
      <c r="O125" s="58"/>
      <c r="P125" s="59">
        <f t="shared" si="91"/>
        <v>1238.1199999999999</v>
      </c>
      <c r="Q125" s="59">
        <v>0</v>
      </c>
      <c r="R125" s="60"/>
    </row>
    <row r="126" spans="1:18" ht="15.75" thickBot="1" x14ac:dyDescent="0.3">
      <c r="B126" s="175" t="s">
        <v>51</v>
      </c>
      <c r="C126" s="176"/>
      <c r="D126" s="18"/>
      <c r="J126" s="59"/>
      <c r="K126" s="59"/>
      <c r="N126" s="58"/>
      <c r="O126" s="58"/>
    </row>
    <row r="127" spans="1:18" x14ac:dyDescent="0.25">
      <c r="J127" s="59"/>
      <c r="K127" s="59"/>
      <c r="N127" s="58"/>
      <c r="O127" s="58"/>
    </row>
    <row r="128" spans="1:18" x14ac:dyDescent="0.25">
      <c r="J128" s="59"/>
      <c r="K128" s="59"/>
      <c r="N128" s="58"/>
      <c r="O128" s="58"/>
    </row>
    <row r="129" spans="1:18" x14ac:dyDescent="0.25">
      <c r="A129" s="17" t="s">
        <v>71</v>
      </c>
      <c r="B129" s="1" t="s">
        <v>46</v>
      </c>
      <c r="C129" s="1" t="s">
        <v>47</v>
      </c>
      <c r="D129" s="1" t="s">
        <v>48</v>
      </c>
      <c r="E129" s="1" t="s">
        <v>72</v>
      </c>
      <c r="J129" s="59"/>
      <c r="K129" s="59"/>
      <c r="N129" s="58"/>
      <c r="O129" s="58"/>
    </row>
    <row r="130" spans="1:18" s="70" customFormat="1" x14ac:dyDescent="0.25">
      <c r="A130" s="17">
        <v>36</v>
      </c>
      <c r="B130" s="1"/>
      <c r="C130" s="1" t="s">
        <v>161</v>
      </c>
      <c r="D130" s="1"/>
      <c r="E130" s="1"/>
      <c r="F130" s="68"/>
      <c r="G130" s="69">
        <f>G131</f>
        <v>733.06</v>
      </c>
      <c r="H130" s="69">
        <f>H131</f>
        <v>2012.86</v>
      </c>
      <c r="J130" s="69">
        <f>J131</f>
        <v>733.06</v>
      </c>
      <c r="K130" s="69">
        <f>K131</f>
        <v>769.71299999999997</v>
      </c>
      <c r="L130" s="69">
        <f t="shared" ref="L130:M130" si="92">L131</f>
        <v>733.06</v>
      </c>
      <c r="M130" s="69">
        <f t="shared" si="92"/>
        <v>769.71299999999997</v>
      </c>
      <c r="N130" s="79">
        <f>-PV($N$2,A130,M130/A130)</f>
        <v>761.37400971577142</v>
      </c>
      <c r="O130" s="79">
        <f>ROUND(N130/A130,0)</f>
        <v>21</v>
      </c>
      <c r="P130" s="69"/>
      <c r="Q130" s="69"/>
    </row>
    <row r="131" spans="1:18" ht="15.75" thickBot="1" x14ac:dyDescent="0.3">
      <c r="B131" s="14" t="s">
        <v>154</v>
      </c>
      <c r="C131" s="14" t="s">
        <v>95</v>
      </c>
      <c r="D131" s="14"/>
      <c r="E131" s="19">
        <v>1</v>
      </c>
      <c r="F131" s="63" t="s">
        <v>154</v>
      </c>
      <c r="G131" s="59">
        <v>733.06</v>
      </c>
      <c r="H131" s="59">
        <v>2012.86</v>
      </c>
      <c r="I131" s="60">
        <f t="shared" ref="I131" si="93">(H131-G131)/H131</f>
        <v>0.63581173057241935</v>
      </c>
      <c r="J131" s="59">
        <f>G131</f>
        <v>733.06</v>
      </c>
      <c r="K131" s="59">
        <f t="shared" ref="K131" si="94">G131*(1+$K$2)</f>
        <v>769.71299999999997</v>
      </c>
      <c r="L131" s="81">
        <f t="shared" ref="L131" si="95">E131*G131</f>
        <v>733.06</v>
      </c>
      <c r="M131" s="59">
        <f t="shared" ref="M131" si="96">K131*E131</f>
        <v>769.71299999999997</v>
      </c>
      <c r="N131" s="58"/>
      <c r="O131" s="58"/>
      <c r="P131" s="59">
        <f t="shared" ref="P131" si="97">L131</f>
        <v>733.06</v>
      </c>
      <c r="Q131" s="59">
        <v>0</v>
      </c>
      <c r="R131" s="60"/>
    </row>
    <row r="132" spans="1:18" ht="15.75" thickBot="1" x14ac:dyDescent="0.3">
      <c r="B132" s="175" t="s">
        <v>51</v>
      </c>
      <c r="C132" s="176"/>
      <c r="D132" s="18"/>
      <c r="J132" s="59"/>
      <c r="K132" s="59"/>
    </row>
    <row r="133" spans="1:18" x14ac:dyDescent="0.25">
      <c r="J133" s="59"/>
      <c r="K133" s="59"/>
      <c r="O133" s="66"/>
      <c r="P133" s="59">
        <f>SUM(P6:P132)</f>
        <v>28996.847777777773</v>
      </c>
      <c r="Q133" s="59">
        <f>SUM(Q6:Q132)</f>
        <v>11562.883333333335</v>
      </c>
    </row>
    <row r="134" spans="1:18" x14ac:dyDescent="0.25">
      <c r="O134" s="66"/>
    </row>
    <row r="137" spans="1:18" x14ac:dyDescent="0.25">
      <c r="Q137" s="59" t="s">
        <v>175</v>
      </c>
      <c r="R137" t="s">
        <v>176</v>
      </c>
    </row>
    <row r="138" spans="1:18" x14ac:dyDescent="0.25">
      <c r="P138" s="103" t="s">
        <v>172</v>
      </c>
      <c r="Q138" s="59">
        <f>SUM(O4:O131)*12</f>
        <v>74292</v>
      </c>
      <c r="R138" s="65">
        <f>Q138</f>
        <v>74292</v>
      </c>
    </row>
    <row r="139" spans="1:18" x14ac:dyDescent="0.25">
      <c r="P139" s="103" t="s">
        <v>167</v>
      </c>
      <c r="Q139" s="59">
        <f>SUM(P23,P25,P43,P44,P48,P59,P60,P61,P73,P74,P88,P96,P114)*12+L9</f>
        <v>72243.600000000006</v>
      </c>
      <c r="R139" s="81">
        <f>SUM(Q23,Q25,Q43,Q44,Q48,Q59,Q60,Q61,Q73,Q74,Q88,Q96,Q114)*12+Q9</f>
        <v>65635.600000000006</v>
      </c>
    </row>
    <row r="140" spans="1:18" x14ac:dyDescent="0.25">
      <c r="P140" s="103" t="s">
        <v>177</v>
      </c>
      <c r="Q140" s="59">
        <f>SUM(P131,P122:P125,P115:P116,P97:P100,P89:P95,P75:P77,P17:P20,P62:P63,P45:P46,P24,P26,P10:P14,P8)</f>
        <v>15759.67</v>
      </c>
      <c r="R140">
        <v>0</v>
      </c>
    </row>
    <row r="141" spans="1:18" x14ac:dyDescent="0.25">
      <c r="P141" s="103" t="s">
        <v>178</v>
      </c>
      <c r="Q141" s="59">
        <f>SUM(P79:P82,P65:P67,P50:P53,P28:P36)</f>
        <v>6093.2500000000018</v>
      </c>
      <c r="R141" s="65">
        <f>Q141</f>
        <v>6093.2500000000018</v>
      </c>
    </row>
    <row r="142" spans="1:18" x14ac:dyDescent="0.25">
      <c r="P142" s="103" t="s">
        <v>173</v>
      </c>
      <c r="Q142" s="59">
        <f>Q138-Q139-Q140-Q141</f>
        <v>-19804.520000000008</v>
      </c>
      <c r="R142" s="59">
        <f>R138-R139-R140-R141</f>
        <v>2563.1499999999924</v>
      </c>
    </row>
    <row r="143" spans="1:18" x14ac:dyDescent="0.25">
      <c r="P143" s="103" t="s">
        <v>174</v>
      </c>
      <c r="Q143" s="60">
        <f>Q142/Q138</f>
        <v>-0.26657675119797564</v>
      </c>
      <c r="R143" s="60">
        <f>R142/R138</f>
        <v>3.450102299036225E-2</v>
      </c>
    </row>
  </sheetData>
  <mergeCells count="8">
    <mergeCell ref="B109:C109"/>
    <mergeCell ref="B117:C117"/>
    <mergeCell ref="B126:C126"/>
    <mergeCell ref="B132:C132"/>
    <mergeCell ref="B37:C37"/>
    <mergeCell ref="B54:C54"/>
    <mergeCell ref="B68:C68"/>
    <mergeCell ref="B83:C8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8"/>
  <sheetViews>
    <sheetView tabSelected="1" zoomScale="90" zoomScaleNormal="90" workbookViewId="0">
      <selection activeCell="P150" sqref="P150"/>
    </sheetView>
  </sheetViews>
  <sheetFormatPr defaultRowHeight="15.75" x14ac:dyDescent="0.25"/>
  <cols>
    <col min="1" max="1" width="7" style="119" customWidth="1"/>
    <col min="2" max="2" width="38.5703125" style="119" customWidth="1"/>
    <col min="3" max="3" width="14.42578125" style="171" customWidth="1"/>
    <col min="4" max="4" width="12.140625" customWidth="1"/>
    <col min="5" max="5" width="14" customWidth="1"/>
    <col min="6" max="6" width="11.28515625" customWidth="1"/>
    <col min="7" max="7" width="11.7109375" customWidth="1"/>
    <col min="8" max="8" width="10.28515625" customWidth="1"/>
    <col min="9" max="9" width="21.5703125" customWidth="1"/>
    <col min="10" max="11" width="13.7109375" customWidth="1"/>
  </cols>
  <sheetData>
    <row r="1" spans="1:11" ht="15.6" customHeight="1" x14ac:dyDescent="0.25">
      <c r="A1" s="188" t="s">
        <v>186</v>
      </c>
      <c r="B1" s="188"/>
      <c r="C1" s="188"/>
      <c r="D1" s="188"/>
      <c r="E1" s="188"/>
      <c r="F1" s="188"/>
      <c r="G1" s="188"/>
      <c r="H1" s="188"/>
      <c r="I1" s="188"/>
    </row>
    <row r="2" spans="1:11" ht="15.6" customHeight="1" x14ac:dyDescent="0.25">
      <c r="A2" s="189" t="s">
        <v>187</v>
      </c>
      <c r="B2" s="189"/>
      <c r="C2" s="189"/>
      <c r="D2" s="189"/>
      <c r="E2" s="189"/>
      <c r="F2" s="189"/>
      <c r="G2" s="189"/>
      <c r="H2" s="189"/>
      <c r="I2" s="189"/>
    </row>
    <row r="3" spans="1:11" ht="9" customHeight="1" x14ac:dyDescent="0.25">
      <c r="A3" s="118"/>
      <c r="C3" s="119"/>
      <c r="D3" s="119"/>
      <c r="E3" s="119"/>
      <c r="F3" s="119"/>
      <c r="G3" s="119"/>
      <c r="H3" s="119"/>
      <c r="I3" s="119"/>
    </row>
    <row r="4" spans="1:11" ht="15.6" customHeight="1" x14ac:dyDescent="0.25">
      <c r="A4" s="189" t="s">
        <v>188</v>
      </c>
      <c r="B4" s="189"/>
      <c r="C4" s="189"/>
      <c r="D4" s="189"/>
      <c r="E4" s="189"/>
      <c r="F4" s="189"/>
      <c r="G4" s="189"/>
      <c r="H4" s="189"/>
      <c r="I4" s="189"/>
    </row>
    <row r="5" spans="1:11" ht="15.6" customHeight="1" x14ac:dyDescent="0.25">
      <c r="A5" s="118"/>
      <c r="C5" s="119"/>
      <c r="D5" s="119"/>
      <c r="E5" s="119"/>
      <c r="F5" s="119"/>
      <c r="G5" s="119"/>
      <c r="H5" s="119"/>
      <c r="I5" s="119"/>
    </row>
    <row r="7" spans="1:11" ht="15.6" customHeight="1" x14ac:dyDescent="0.25">
      <c r="A7" s="190" t="s">
        <v>189</v>
      </c>
      <c r="B7" s="190"/>
      <c r="C7" s="190"/>
      <c r="D7" s="190"/>
      <c r="E7" s="190"/>
      <c r="F7" s="190"/>
      <c r="G7" s="190"/>
      <c r="H7" s="190"/>
      <c r="I7" s="190"/>
    </row>
    <row r="8" spans="1:11" ht="15.6" customHeight="1" x14ac:dyDescent="0.25">
      <c r="A8" s="118"/>
      <c r="B8" s="118"/>
      <c r="C8" s="118"/>
      <c r="D8" s="118"/>
      <c r="E8" s="118"/>
      <c r="F8" s="118"/>
      <c r="G8" s="118"/>
      <c r="H8" s="118"/>
      <c r="I8" s="118"/>
    </row>
    <row r="9" spans="1:11" ht="18" customHeight="1" x14ac:dyDescent="0.25">
      <c r="B9" s="120" t="s">
        <v>190</v>
      </c>
      <c r="C9" s="121"/>
      <c r="D9" s="121"/>
      <c r="E9" s="121"/>
      <c r="F9" s="121"/>
      <c r="G9" s="121"/>
      <c r="H9" s="121"/>
      <c r="I9" s="121"/>
    </row>
    <row r="10" spans="1:11" ht="15.6" customHeight="1" x14ac:dyDescent="0.25">
      <c r="C10" s="119"/>
      <c r="D10" s="122"/>
      <c r="E10" s="123" t="s">
        <v>191</v>
      </c>
      <c r="F10" s="119"/>
      <c r="G10" s="119"/>
      <c r="H10" s="119"/>
      <c r="I10" s="119"/>
    </row>
    <row r="11" spans="1:11" ht="15.75" customHeight="1" x14ac:dyDescent="0.25">
      <c r="A11" s="191" t="s">
        <v>192</v>
      </c>
      <c r="B11" s="191"/>
      <c r="C11" s="191"/>
      <c r="D11" s="191"/>
      <c r="E11" s="191"/>
      <c r="F11" s="191"/>
      <c r="G11" s="191"/>
      <c r="H11" s="191"/>
      <c r="I11" s="191"/>
    </row>
    <row r="12" spans="1:11" ht="15.6" customHeight="1" x14ac:dyDescent="0.25">
      <c r="A12" s="182" t="s">
        <v>193</v>
      </c>
      <c r="B12" s="182"/>
      <c r="C12" s="182"/>
      <c r="D12" s="182"/>
      <c r="E12" s="182"/>
      <c r="F12" s="182"/>
      <c r="G12" s="182"/>
      <c r="H12" s="182"/>
      <c r="I12" s="182"/>
    </row>
    <row r="13" spans="1:11" ht="15" x14ac:dyDescent="0.25">
      <c r="C13" s="119"/>
      <c r="D13" s="122"/>
      <c r="E13" s="123"/>
      <c r="F13" s="119"/>
      <c r="G13" s="119"/>
      <c r="H13" s="119"/>
      <c r="I13" s="119"/>
    </row>
    <row r="14" spans="1:11" ht="15" x14ac:dyDescent="0.25">
      <c r="A14" s="183"/>
      <c r="B14" s="183"/>
      <c r="C14" s="183"/>
      <c r="D14" s="183"/>
      <c r="E14" s="183"/>
      <c r="F14" s="183"/>
      <c r="G14" s="183"/>
      <c r="H14" s="183"/>
      <c r="I14" s="183"/>
    </row>
    <row r="15" spans="1:11" ht="76.5" x14ac:dyDescent="0.25">
      <c r="A15" s="124" t="s">
        <v>194</v>
      </c>
      <c r="B15" s="124" t="s">
        <v>195</v>
      </c>
      <c r="C15" s="124" t="s">
        <v>196</v>
      </c>
      <c r="D15" s="125" t="s">
        <v>197</v>
      </c>
      <c r="E15" s="125" t="s">
        <v>198</v>
      </c>
      <c r="F15" s="125" t="s">
        <v>199</v>
      </c>
      <c r="G15" s="125" t="s">
        <v>200</v>
      </c>
      <c r="H15" s="125" t="s">
        <v>201</v>
      </c>
      <c r="I15" s="125" t="s">
        <v>202</v>
      </c>
      <c r="J15" s="126"/>
      <c r="K15" s="126"/>
    </row>
    <row r="16" spans="1:11" ht="15" x14ac:dyDescent="0.25">
      <c r="A16" s="127">
        <v>1</v>
      </c>
      <c r="B16" s="127">
        <v>2</v>
      </c>
      <c r="C16" s="128">
        <v>3</v>
      </c>
      <c r="D16" s="129">
        <v>4</v>
      </c>
      <c r="E16" s="129">
        <v>5</v>
      </c>
      <c r="F16" s="129">
        <v>6</v>
      </c>
      <c r="G16" s="129">
        <v>7</v>
      </c>
      <c r="H16" s="129">
        <v>8</v>
      </c>
      <c r="I16" s="129">
        <v>9</v>
      </c>
    </row>
    <row r="17" spans="1:11" ht="22.15" customHeight="1" x14ac:dyDescent="0.25">
      <c r="A17" s="180" t="s">
        <v>203</v>
      </c>
      <c r="B17" s="180"/>
      <c r="C17" s="180"/>
      <c r="D17" s="180"/>
      <c r="E17" s="180"/>
      <c r="F17" s="180"/>
      <c r="G17" s="180"/>
      <c r="H17" s="180"/>
      <c r="I17" s="180"/>
    </row>
    <row r="18" spans="1:11" x14ac:dyDescent="0.25">
      <c r="A18" s="130" t="s">
        <v>52</v>
      </c>
      <c r="B18" s="131" t="s">
        <v>204</v>
      </c>
      <c r="C18" s="180">
        <v>3500</v>
      </c>
      <c r="D18" s="132">
        <v>12</v>
      </c>
      <c r="E18" s="132">
        <v>300</v>
      </c>
      <c r="F18" s="172">
        <v>16.190000000000001</v>
      </c>
      <c r="G18" s="133">
        <f>F18*D18</f>
        <v>194.28000000000003</v>
      </c>
      <c r="H18" s="133">
        <f>ROUND(G18*1.05,2)</f>
        <v>203.99</v>
      </c>
      <c r="I18" s="132">
        <v>3183734190</v>
      </c>
      <c r="J18" s="134"/>
      <c r="K18" s="134"/>
    </row>
    <row r="19" spans="1:11" ht="15" x14ac:dyDescent="0.25">
      <c r="A19" s="135" t="s">
        <v>205</v>
      </c>
      <c r="B19" s="136" t="s">
        <v>206</v>
      </c>
      <c r="C19" s="180"/>
      <c r="D19" s="132">
        <v>1</v>
      </c>
      <c r="E19" s="132" t="s">
        <v>207</v>
      </c>
      <c r="F19" s="172">
        <v>48.22</v>
      </c>
      <c r="G19" s="133">
        <f t="shared" ref="G19:G82" si="0">F19*D19</f>
        <v>48.22</v>
      </c>
      <c r="H19" s="133">
        <f t="shared" ref="H19:H82" si="1">ROUND(G19*1.05,2)</f>
        <v>50.63</v>
      </c>
      <c r="I19" s="132">
        <v>10759350190</v>
      </c>
      <c r="J19" s="134"/>
      <c r="K19" s="134"/>
    </row>
    <row r="20" spans="1:11" ht="15" x14ac:dyDescent="0.25">
      <c r="A20" s="135" t="s">
        <v>208</v>
      </c>
      <c r="B20" s="137" t="s">
        <v>209</v>
      </c>
      <c r="C20" s="180"/>
      <c r="D20" s="132">
        <v>1</v>
      </c>
      <c r="E20" s="132" t="s">
        <v>210</v>
      </c>
      <c r="F20" s="172">
        <v>208.53</v>
      </c>
      <c r="G20" s="133">
        <f t="shared" si="0"/>
        <v>208.53</v>
      </c>
      <c r="H20" s="133">
        <f t="shared" si="1"/>
        <v>218.96</v>
      </c>
      <c r="I20" s="138">
        <v>5117208922</v>
      </c>
      <c r="J20" s="134"/>
      <c r="K20" s="134"/>
    </row>
    <row r="21" spans="1:11" ht="15" x14ac:dyDescent="0.25">
      <c r="A21" s="135" t="s">
        <v>211</v>
      </c>
      <c r="B21" s="137" t="s">
        <v>212</v>
      </c>
      <c r="C21" s="180"/>
      <c r="D21" s="132">
        <v>1</v>
      </c>
      <c r="E21" s="132" t="s">
        <v>210</v>
      </c>
      <c r="F21" s="172">
        <v>208.53</v>
      </c>
      <c r="G21" s="133">
        <f t="shared" si="0"/>
        <v>208.53</v>
      </c>
      <c r="H21" s="133">
        <f t="shared" si="1"/>
        <v>218.96</v>
      </c>
      <c r="I21" s="138">
        <v>5117291922</v>
      </c>
      <c r="J21" s="134"/>
      <c r="K21" s="134"/>
    </row>
    <row r="22" spans="1:11" s="139" customFormat="1" x14ac:dyDescent="0.25">
      <c r="A22" s="130" t="s">
        <v>53</v>
      </c>
      <c r="B22" s="131" t="s">
        <v>213</v>
      </c>
      <c r="C22" s="180">
        <v>200</v>
      </c>
      <c r="D22" s="132">
        <v>2</v>
      </c>
      <c r="E22" s="132">
        <v>150</v>
      </c>
      <c r="F22" s="172">
        <v>24.29</v>
      </c>
      <c r="G22" s="133">
        <f t="shared" si="0"/>
        <v>48.58</v>
      </c>
      <c r="H22" s="133">
        <f t="shared" si="1"/>
        <v>51.01</v>
      </c>
      <c r="I22" s="132">
        <v>3333825190</v>
      </c>
      <c r="J22" s="134"/>
      <c r="K22" s="134"/>
    </row>
    <row r="23" spans="1:11" ht="15" x14ac:dyDescent="0.25">
      <c r="A23" s="135" t="s">
        <v>214</v>
      </c>
      <c r="B23" s="136" t="s">
        <v>215</v>
      </c>
      <c r="C23" s="180"/>
      <c r="D23" s="132">
        <v>1</v>
      </c>
      <c r="E23" s="132" t="s">
        <v>216</v>
      </c>
      <c r="F23" s="172">
        <v>65.17</v>
      </c>
      <c r="G23" s="133">
        <f t="shared" si="0"/>
        <v>65.17</v>
      </c>
      <c r="H23" s="133">
        <f t="shared" si="1"/>
        <v>68.430000000000007</v>
      </c>
      <c r="I23" s="132">
        <v>3121305122</v>
      </c>
      <c r="J23" s="134"/>
      <c r="K23" s="134"/>
    </row>
    <row r="24" spans="1:11" ht="15" x14ac:dyDescent="0.25">
      <c r="A24" s="135" t="s">
        <v>217</v>
      </c>
      <c r="B24" s="136" t="s">
        <v>218</v>
      </c>
      <c r="C24" s="180"/>
      <c r="D24" s="132">
        <v>1</v>
      </c>
      <c r="E24" s="132" t="s">
        <v>219</v>
      </c>
      <c r="F24" s="172">
        <v>129.9</v>
      </c>
      <c r="G24" s="133">
        <f t="shared" si="0"/>
        <v>129.9</v>
      </c>
      <c r="H24" s="133">
        <f t="shared" si="1"/>
        <v>136.4</v>
      </c>
      <c r="I24" s="132">
        <v>3121313122</v>
      </c>
      <c r="J24" s="134"/>
      <c r="K24" s="134"/>
    </row>
    <row r="25" spans="1:11" ht="15" x14ac:dyDescent="0.25">
      <c r="A25" s="135" t="s">
        <v>220</v>
      </c>
      <c r="B25" s="136" t="s">
        <v>221</v>
      </c>
      <c r="C25" s="180"/>
      <c r="D25" s="132">
        <v>2</v>
      </c>
      <c r="E25" s="132" t="s">
        <v>219</v>
      </c>
      <c r="F25" s="172">
        <v>144.28</v>
      </c>
      <c r="G25" s="133">
        <f t="shared" si="0"/>
        <v>288.56</v>
      </c>
      <c r="H25" s="133">
        <f t="shared" si="1"/>
        <v>302.99</v>
      </c>
      <c r="I25" s="132">
        <v>3121291122</v>
      </c>
      <c r="J25" s="134"/>
      <c r="K25" s="134"/>
    </row>
    <row r="26" spans="1:11" x14ac:dyDescent="0.25">
      <c r="A26" s="130" t="s">
        <v>222</v>
      </c>
      <c r="B26" s="131" t="s">
        <v>223</v>
      </c>
      <c r="C26" s="180">
        <v>13300</v>
      </c>
      <c r="D26" s="132">
        <v>54</v>
      </c>
      <c r="E26" s="132">
        <v>250</v>
      </c>
      <c r="F26" s="172">
        <v>88.05</v>
      </c>
      <c r="G26" s="133">
        <f t="shared" si="0"/>
        <v>4754.7</v>
      </c>
      <c r="H26" s="133">
        <f t="shared" si="1"/>
        <v>4992.4399999999996</v>
      </c>
      <c r="I26" s="132">
        <v>4956842190</v>
      </c>
      <c r="J26" s="134"/>
      <c r="K26" s="134"/>
    </row>
    <row r="27" spans="1:11" ht="15" x14ac:dyDescent="0.25">
      <c r="A27" s="135" t="s">
        <v>224</v>
      </c>
      <c r="B27" s="136" t="s">
        <v>225</v>
      </c>
      <c r="C27" s="180"/>
      <c r="D27" s="132">
        <v>1</v>
      </c>
      <c r="E27" s="132" t="s">
        <v>216</v>
      </c>
      <c r="F27" s="172">
        <v>125.64</v>
      </c>
      <c r="G27" s="133">
        <f t="shared" si="0"/>
        <v>125.64</v>
      </c>
      <c r="H27" s="133">
        <f t="shared" si="1"/>
        <v>131.91999999999999</v>
      </c>
      <c r="I27" s="132">
        <v>11355279216</v>
      </c>
      <c r="J27" s="134"/>
      <c r="K27" s="134"/>
    </row>
    <row r="28" spans="1:11" ht="15" x14ac:dyDescent="0.25">
      <c r="A28" s="135" t="s">
        <v>226</v>
      </c>
      <c r="B28" s="137" t="s">
        <v>209</v>
      </c>
      <c r="C28" s="180"/>
      <c r="D28" s="132"/>
      <c r="E28" s="132" t="s">
        <v>210</v>
      </c>
      <c r="F28" s="172"/>
      <c r="G28" s="133"/>
      <c r="H28" s="133"/>
      <c r="I28" s="138">
        <v>5117208922</v>
      </c>
      <c r="J28" s="134"/>
      <c r="K28" s="134"/>
    </row>
    <row r="29" spans="1:11" ht="15" x14ac:dyDescent="0.25">
      <c r="A29" s="135" t="s">
        <v>227</v>
      </c>
      <c r="B29" s="137" t="s">
        <v>212</v>
      </c>
      <c r="C29" s="180"/>
      <c r="D29" s="132"/>
      <c r="E29" s="132" t="s">
        <v>210</v>
      </c>
      <c r="F29" s="172"/>
      <c r="G29" s="133"/>
      <c r="H29" s="133"/>
      <c r="I29" s="138">
        <v>5117291922</v>
      </c>
      <c r="J29" s="134"/>
      <c r="K29" s="134"/>
    </row>
    <row r="30" spans="1:11" x14ac:dyDescent="0.25">
      <c r="A30" s="130" t="s">
        <v>65</v>
      </c>
      <c r="B30" s="131" t="s">
        <v>228</v>
      </c>
      <c r="C30" s="180">
        <v>13000</v>
      </c>
      <c r="D30" s="132">
        <v>26</v>
      </c>
      <c r="E30" s="132">
        <v>500</v>
      </c>
      <c r="F30" s="172">
        <v>19.13</v>
      </c>
      <c r="G30" s="133">
        <f t="shared" si="0"/>
        <v>497.38</v>
      </c>
      <c r="H30" s="133">
        <f t="shared" si="1"/>
        <v>522.25</v>
      </c>
      <c r="I30" s="132">
        <v>4460715190</v>
      </c>
      <c r="J30" s="134"/>
      <c r="K30" s="134"/>
    </row>
    <row r="31" spans="1:11" ht="15" x14ac:dyDescent="0.25">
      <c r="A31" s="135" t="s">
        <v>229</v>
      </c>
      <c r="B31" s="136" t="s">
        <v>206</v>
      </c>
      <c r="C31" s="180"/>
      <c r="D31" s="132">
        <v>1</v>
      </c>
      <c r="E31" s="132" t="s">
        <v>207</v>
      </c>
      <c r="F31" s="172">
        <v>48.22</v>
      </c>
      <c r="G31" s="133">
        <f t="shared" si="0"/>
        <v>48.22</v>
      </c>
      <c r="H31" s="133">
        <f t="shared" si="1"/>
        <v>50.63</v>
      </c>
      <c r="I31" s="132">
        <v>10759350190</v>
      </c>
      <c r="J31" s="134"/>
      <c r="K31" s="134"/>
    </row>
    <row r="32" spans="1:11" ht="15" x14ac:dyDescent="0.25">
      <c r="A32" s="135" t="s">
        <v>230</v>
      </c>
      <c r="B32" s="137" t="s">
        <v>209</v>
      </c>
      <c r="C32" s="180"/>
      <c r="D32" s="132"/>
      <c r="E32" s="132" t="s">
        <v>210</v>
      </c>
      <c r="F32" s="172"/>
      <c r="G32" s="133"/>
      <c r="H32" s="133"/>
      <c r="I32" s="138">
        <v>5117208922</v>
      </c>
      <c r="J32" s="134"/>
      <c r="K32" s="134"/>
    </row>
    <row r="33" spans="1:11" ht="15" x14ac:dyDescent="0.25">
      <c r="A33" s="135" t="s">
        <v>231</v>
      </c>
      <c r="B33" s="137" t="s">
        <v>212</v>
      </c>
      <c r="C33" s="180"/>
      <c r="D33" s="132"/>
      <c r="E33" s="132" t="s">
        <v>210</v>
      </c>
      <c r="F33" s="172"/>
      <c r="G33" s="133"/>
      <c r="H33" s="133"/>
      <c r="I33" s="138">
        <v>5117291922</v>
      </c>
      <c r="J33" s="134"/>
      <c r="K33" s="134"/>
    </row>
    <row r="34" spans="1:11" ht="16.149999999999999" customHeight="1" x14ac:dyDescent="0.25">
      <c r="A34" s="130" t="s">
        <v>67</v>
      </c>
      <c r="B34" s="131" t="s">
        <v>232</v>
      </c>
      <c r="C34" s="180">
        <v>15000</v>
      </c>
      <c r="D34" s="132">
        <v>21</v>
      </c>
      <c r="E34" s="132">
        <v>700</v>
      </c>
      <c r="F34" s="172">
        <v>26.06</v>
      </c>
      <c r="G34" s="133">
        <f t="shared" si="0"/>
        <v>547.26</v>
      </c>
      <c r="H34" s="133">
        <f t="shared" si="1"/>
        <v>574.62</v>
      </c>
      <c r="I34" s="132">
        <v>4810716190</v>
      </c>
      <c r="J34" s="134"/>
      <c r="K34" s="134"/>
    </row>
    <row r="35" spans="1:11" ht="15" x14ac:dyDescent="0.25">
      <c r="A35" s="135" t="s">
        <v>233</v>
      </c>
      <c r="B35" s="136" t="s">
        <v>206</v>
      </c>
      <c r="C35" s="180"/>
      <c r="D35" s="132"/>
      <c r="E35" s="132" t="s">
        <v>207</v>
      </c>
      <c r="F35" s="172"/>
      <c r="G35" s="133"/>
      <c r="H35" s="133"/>
      <c r="I35" s="132">
        <v>10759350190</v>
      </c>
      <c r="J35" s="134"/>
      <c r="K35" s="134"/>
    </row>
    <row r="36" spans="1:11" ht="15" x14ac:dyDescent="0.25">
      <c r="A36" s="135" t="s">
        <v>234</v>
      </c>
      <c r="B36" s="137" t="s">
        <v>209</v>
      </c>
      <c r="C36" s="180"/>
      <c r="D36" s="132"/>
      <c r="E36" s="132" t="s">
        <v>210</v>
      </c>
      <c r="F36" s="172"/>
      <c r="G36" s="133"/>
      <c r="H36" s="133"/>
      <c r="I36" s="138">
        <v>5117208922</v>
      </c>
      <c r="J36" s="134"/>
      <c r="K36" s="134"/>
    </row>
    <row r="37" spans="1:11" ht="15" x14ac:dyDescent="0.25">
      <c r="A37" s="135" t="s">
        <v>235</v>
      </c>
      <c r="B37" s="137" t="s">
        <v>212</v>
      </c>
      <c r="C37" s="180"/>
      <c r="D37" s="132"/>
      <c r="E37" s="132" t="s">
        <v>210</v>
      </c>
      <c r="F37" s="172"/>
      <c r="G37" s="133"/>
      <c r="H37" s="133"/>
      <c r="I37" s="138">
        <v>5117291922</v>
      </c>
      <c r="J37" s="134"/>
      <c r="K37" s="134"/>
    </row>
    <row r="38" spans="1:11" x14ac:dyDescent="0.25">
      <c r="A38" s="130" t="s">
        <v>69</v>
      </c>
      <c r="B38" s="131" t="s">
        <v>236</v>
      </c>
      <c r="C38" s="180">
        <v>200</v>
      </c>
      <c r="D38" s="132">
        <v>1</v>
      </c>
      <c r="E38" s="132">
        <v>700</v>
      </c>
      <c r="F38" s="172">
        <v>26.06</v>
      </c>
      <c r="G38" s="133">
        <f t="shared" si="0"/>
        <v>26.06</v>
      </c>
      <c r="H38" s="133">
        <f t="shared" si="1"/>
        <v>27.36</v>
      </c>
      <c r="I38" s="132">
        <v>4810716190</v>
      </c>
      <c r="J38" s="134"/>
      <c r="K38" s="134"/>
    </row>
    <row r="39" spans="1:11" ht="15" x14ac:dyDescent="0.25">
      <c r="A39" s="135" t="s">
        <v>237</v>
      </c>
      <c r="B39" s="136" t="s">
        <v>206</v>
      </c>
      <c r="C39" s="180"/>
      <c r="D39" s="132"/>
      <c r="E39" s="132" t="s">
        <v>207</v>
      </c>
      <c r="F39" s="172"/>
      <c r="G39" s="133"/>
      <c r="H39" s="133"/>
      <c r="I39" s="132">
        <v>10759350190</v>
      </c>
      <c r="J39" s="134"/>
      <c r="K39" s="134"/>
    </row>
    <row r="40" spans="1:11" ht="15" x14ac:dyDescent="0.25">
      <c r="A40" s="135" t="s">
        <v>238</v>
      </c>
      <c r="B40" s="137" t="s">
        <v>209</v>
      </c>
      <c r="C40" s="180"/>
      <c r="D40" s="132"/>
      <c r="E40" s="132" t="s">
        <v>210</v>
      </c>
      <c r="F40" s="172"/>
      <c r="G40" s="133"/>
      <c r="H40" s="133"/>
      <c r="I40" s="138">
        <v>5117208922</v>
      </c>
      <c r="J40" s="134"/>
      <c r="K40" s="134"/>
    </row>
    <row r="41" spans="1:11" ht="15" x14ac:dyDescent="0.25">
      <c r="A41" s="135" t="s">
        <v>239</v>
      </c>
      <c r="B41" s="137" t="s">
        <v>212</v>
      </c>
      <c r="C41" s="180"/>
      <c r="D41" s="132"/>
      <c r="E41" s="132" t="s">
        <v>210</v>
      </c>
      <c r="F41" s="172"/>
      <c r="G41" s="133"/>
      <c r="H41" s="133"/>
      <c r="I41" s="138">
        <v>5117291922</v>
      </c>
      <c r="J41" s="134"/>
      <c r="K41" s="134"/>
    </row>
    <row r="42" spans="1:11" ht="16.899999999999999" customHeight="1" x14ac:dyDescent="0.25">
      <c r="A42" s="130" t="s">
        <v>70</v>
      </c>
      <c r="B42" s="131" t="s">
        <v>240</v>
      </c>
      <c r="C42" s="180">
        <v>4700</v>
      </c>
      <c r="D42" s="132">
        <v>12</v>
      </c>
      <c r="E42" s="132">
        <v>400</v>
      </c>
      <c r="F42" s="172">
        <v>24.62</v>
      </c>
      <c r="G42" s="133">
        <f t="shared" si="0"/>
        <v>295.44</v>
      </c>
      <c r="H42" s="133">
        <f t="shared" si="1"/>
        <v>310.20999999999998</v>
      </c>
      <c r="I42" s="132">
        <v>3183807190</v>
      </c>
      <c r="J42" s="134"/>
      <c r="K42" s="134"/>
    </row>
    <row r="43" spans="1:11" ht="15" x14ac:dyDescent="0.25">
      <c r="A43" s="135" t="s">
        <v>241</v>
      </c>
      <c r="B43" s="136" t="s">
        <v>206</v>
      </c>
      <c r="C43" s="180"/>
      <c r="D43" s="132"/>
      <c r="E43" s="132" t="s">
        <v>207</v>
      </c>
      <c r="F43" s="172"/>
      <c r="G43" s="133"/>
      <c r="H43" s="133"/>
      <c r="I43" s="132">
        <v>10759350190</v>
      </c>
      <c r="J43" s="134"/>
      <c r="K43" s="134"/>
    </row>
    <row r="44" spans="1:11" ht="15" x14ac:dyDescent="0.25">
      <c r="A44" s="135" t="s">
        <v>242</v>
      </c>
      <c r="B44" s="137" t="s">
        <v>209</v>
      </c>
      <c r="C44" s="180"/>
      <c r="D44" s="132"/>
      <c r="E44" s="132" t="s">
        <v>210</v>
      </c>
      <c r="F44" s="172"/>
      <c r="G44" s="133"/>
      <c r="H44" s="133"/>
      <c r="I44" s="138">
        <v>5117208922</v>
      </c>
      <c r="J44" s="134"/>
      <c r="K44" s="134"/>
    </row>
    <row r="45" spans="1:11" ht="15" x14ac:dyDescent="0.25">
      <c r="A45" s="135" t="s">
        <v>243</v>
      </c>
      <c r="B45" s="137" t="s">
        <v>212</v>
      </c>
      <c r="C45" s="180"/>
      <c r="D45" s="132"/>
      <c r="E45" s="132" t="s">
        <v>210</v>
      </c>
      <c r="F45" s="172"/>
      <c r="G45" s="133"/>
      <c r="H45" s="133"/>
      <c r="I45" s="138">
        <v>5117291922</v>
      </c>
      <c r="J45" s="134"/>
      <c r="K45" s="134"/>
    </row>
    <row r="46" spans="1:11" x14ac:dyDescent="0.25">
      <c r="A46" s="130" t="s">
        <v>71</v>
      </c>
      <c r="B46" s="131" t="s">
        <v>244</v>
      </c>
      <c r="C46" s="180">
        <v>7000</v>
      </c>
      <c r="D46" s="132">
        <v>28</v>
      </c>
      <c r="E46" s="132">
        <v>250</v>
      </c>
      <c r="F46" s="172">
        <v>33.36</v>
      </c>
      <c r="G46" s="133">
        <f t="shared" si="0"/>
        <v>934.07999999999993</v>
      </c>
      <c r="H46" s="133">
        <f t="shared" si="1"/>
        <v>980.78</v>
      </c>
      <c r="I46" s="132">
        <v>5795397190</v>
      </c>
      <c r="J46" s="134"/>
      <c r="K46" s="134"/>
    </row>
    <row r="47" spans="1:11" ht="15" x14ac:dyDescent="0.25">
      <c r="A47" s="135" t="s">
        <v>245</v>
      </c>
      <c r="B47" s="136" t="s">
        <v>206</v>
      </c>
      <c r="C47" s="180"/>
      <c r="D47" s="132"/>
      <c r="E47" s="132" t="s">
        <v>207</v>
      </c>
      <c r="F47" s="172"/>
      <c r="G47" s="133"/>
      <c r="H47" s="133"/>
      <c r="I47" s="132">
        <v>10759350190</v>
      </c>
      <c r="J47" s="134"/>
      <c r="K47" s="134"/>
    </row>
    <row r="48" spans="1:11" ht="15" x14ac:dyDescent="0.25">
      <c r="A48" s="135" t="s">
        <v>246</v>
      </c>
      <c r="B48" s="137" t="s">
        <v>209</v>
      </c>
      <c r="C48" s="180"/>
      <c r="D48" s="132"/>
      <c r="E48" s="132" t="s">
        <v>210</v>
      </c>
      <c r="F48" s="172"/>
      <c r="G48" s="133"/>
      <c r="H48" s="133"/>
      <c r="I48" s="138">
        <v>5117208922</v>
      </c>
      <c r="J48" s="134"/>
      <c r="K48" s="134"/>
    </row>
    <row r="49" spans="1:11" ht="15" x14ac:dyDescent="0.25">
      <c r="A49" s="135" t="s">
        <v>247</v>
      </c>
      <c r="B49" s="137" t="s">
        <v>212</v>
      </c>
      <c r="C49" s="180"/>
      <c r="D49" s="132"/>
      <c r="E49" s="132" t="s">
        <v>210</v>
      </c>
      <c r="F49" s="172"/>
      <c r="G49" s="133"/>
      <c r="H49" s="133"/>
      <c r="I49" s="138">
        <v>5117291922</v>
      </c>
      <c r="J49" s="134"/>
      <c r="K49" s="134"/>
    </row>
    <row r="50" spans="1:11" x14ac:dyDescent="0.25">
      <c r="A50" s="130" t="s">
        <v>248</v>
      </c>
      <c r="B50" s="131" t="s">
        <v>249</v>
      </c>
      <c r="C50" s="180">
        <v>7000</v>
      </c>
      <c r="D50" s="132">
        <v>20</v>
      </c>
      <c r="E50" s="132">
        <v>350</v>
      </c>
      <c r="F50" s="172">
        <v>18.239999999999998</v>
      </c>
      <c r="G50" s="133">
        <f t="shared" si="0"/>
        <v>364.79999999999995</v>
      </c>
      <c r="H50" s="133">
        <f t="shared" si="1"/>
        <v>383.04</v>
      </c>
      <c r="I50" s="132">
        <v>5589061190</v>
      </c>
      <c r="J50" s="134"/>
      <c r="K50" s="134"/>
    </row>
    <row r="51" spans="1:11" ht="14.45" customHeight="1" x14ac:dyDescent="0.25">
      <c r="A51" s="135" t="s">
        <v>250</v>
      </c>
      <c r="B51" s="136" t="s">
        <v>206</v>
      </c>
      <c r="C51" s="180"/>
      <c r="D51" s="132"/>
      <c r="E51" s="132" t="s">
        <v>207</v>
      </c>
      <c r="F51" s="172"/>
      <c r="G51" s="133"/>
      <c r="H51" s="133"/>
      <c r="I51" s="132">
        <v>10759350190</v>
      </c>
      <c r="J51" s="134"/>
      <c r="K51" s="134"/>
    </row>
    <row r="52" spans="1:11" ht="14.45" customHeight="1" x14ac:dyDescent="0.25">
      <c r="A52" s="135" t="s">
        <v>251</v>
      </c>
      <c r="B52" s="137" t="s">
        <v>209</v>
      </c>
      <c r="C52" s="180"/>
      <c r="D52" s="132"/>
      <c r="E52" s="132" t="s">
        <v>210</v>
      </c>
      <c r="F52" s="172"/>
      <c r="G52" s="133"/>
      <c r="H52" s="133"/>
      <c r="I52" s="138">
        <v>5117208922</v>
      </c>
      <c r="J52" s="134"/>
      <c r="K52" s="134"/>
    </row>
    <row r="53" spans="1:11" ht="14.45" customHeight="1" x14ac:dyDescent="0.25">
      <c r="A53" s="135" t="s">
        <v>252</v>
      </c>
      <c r="B53" s="137" t="s">
        <v>212</v>
      </c>
      <c r="C53" s="180"/>
      <c r="D53" s="132"/>
      <c r="E53" s="132" t="s">
        <v>210</v>
      </c>
      <c r="F53" s="172"/>
      <c r="G53" s="133"/>
      <c r="H53" s="133"/>
      <c r="I53" s="138">
        <v>5117291922</v>
      </c>
      <c r="J53" s="134"/>
      <c r="K53" s="134"/>
    </row>
    <row r="54" spans="1:11" ht="17.45" customHeight="1" x14ac:dyDescent="0.25">
      <c r="A54" s="130" t="s">
        <v>253</v>
      </c>
      <c r="B54" s="140" t="s">
        <v>254</v>
      </c>
      <c r="C54" s="180">
        <v>8300</v>
      </c>
      <c r="D54" s="132">
        <v>17</v>
      </c>
      <c r="E54" s="132">
        <v>500</v>
      </c>
      <c r="F54" s="172">
        <v>26.55</v>
      </c>
      <c r="G54" s="133">
        <f t="shared" si="0"/>
        <v>451.35</v>
      </c>
      <c r="H54" s="133">
        <f t="shared" si="1"/>
        <v>473.92</v>
      </c>
      <c r="I54" s="132">
        <v>20764957322</v>
      </c>
      <c r="J54" s="134"/>
      <c r="K54" s="134"/>
    </row>
    <row r="55" spans="1:11" ht="15" x14ac:dyDescent="0.25">
      <c r="A55" s="135" t="s">
        <v>255</v>
      </c>
      <c r="B55" s="136" t="s">
        <v>206</v>
      </c>
      <c r="C55" s="180"/>
      <c r="D55" s="132"/>
      <c r="E55" s="132" t="s">
        <v>207</v>
      </c>
      <c r="F55" s="172"/>
      <c r="G55" s="133"/>
      <c r="H55" s="133"/>
      <c r="I55" s="132">
        <v>10759350190</v>
      </c>
      <c r="J55" s="134"/>
      <c r="K55" s="134"/>
    </row>
    <row r="56" spans="1:11" ht="15" x14ac:dyDescent="0.25">
      <c r="A56" s="135" t="s">
        <v>256</v>
      </c>
      <c r="B56" s="137" t="s">
        <v>209</v>
      </c>
      <c r="C56" s="180"/>
      <c r="D56" s="132"/>
      <c r="E56" s="132" t="s">
        <v>210</v>
      </c>
      <c r="F56" s="172"/>
      <c r="G56" s="133"/>
      <c r="H56" s="133"/>
      <c r="I56" s="138">
        <v>5117208922</v>
      </c>
      <c r="J56" s="134"/>
      <c r="K56" s="134"/>
    </row>
    <row r="57" spans="1:11" ht="15" x14ac:dyDescent="0.25">
      <c r="A57" s="135" t="s">
        <v>257</v>
      </c>
      <c r="B57" s="137" t="s">
        <v>212</v>
      </c>
      <c r="C57" s="180"/>
      <c r="D57" s="132"/>
      <c r="E57" s="132" t="s">
        <v>210</v>
      </c>
      <c r="F57" s="172"/>
      <c r="G57" s="133"/>
      <c r="H57" s="133"/>
      <c r="I57" s="138">
        <v>5117291922</v>
      </c>
      <c r="J57" s="134"/>
      <c r="K57" s="134"/>
    </row>
    <row r="58" spans="1:11" x14ac:dyDescent="0.25">
      <c r="A58" s="130" t="s">
        <v>258</v>
      </c>
      <c r="B58" s="131" t="s">
        <v>259</v>
      </c>
      <c r="C58" s="180">
        <v>8300</v>
      </c>
      <c r="D58" s="132">
        <v>17</v>
      </c>
      <c r="E58" s="132">
        <v>500</v>
      </c>
      <c r="F58" s="172">
        <v>26.33</v>
      </c>
      <c r="G58" s="133">
        <f t="shared" si="0"/>
        <v>447.60999999999996</v>
      </c>
      <c r="H58" s="133">
        <f t="shared" si="1"/>
        <v>469.99</v>
      </c>
      <c r="I58" s="132">
        <v>20764949322</v>
      </c>
      <c r="J58" s="134"/>
      <c r="K58" s="134"/>
    </row>
    <row r="59" spans="1:11" ht="15" x14ac:dyDescent="0.25">
      <c r="A59" s="135" t="s">
        <v>260</v>
      </c>
      <c r="B59" s="136" t="s">
        <v>206</v>
      </c>
      <c r="C59" s="180"/>
      <c r="D59" s="132"/>
      <c r="E59" s="132" t="s">
        <v>207</v>
      </c>
      <c r="F59" s="172"/>
      <c r="G59" s="133"/>
      <c r="H59" s="133"/>
      <c r="I59" s="132">
        <v>10759350190</v>
      </c>
      <c r="J59" s="134"/>
      <c r="K59" s="134"/>
    </row>
    <row r="60" spans="1:11" ht="15" x14ac:dyDescent="0.25">
      <c r="A60" s="135" t="s">
        <v>261</v>
      </c>
      <c r="B60" s="137" t="s">
        <v>209</v>
      </c>
      <c r="C60" s="180"/>
      <c r="D60" s="132"/>
      <c r="E60" s="132" t="s">
        <v>210</v>
      </c>
      <c r="F60" s="172"/>
      <c r="G60" s="133"/>
      <c r="H60" s="133"/>
      <c r="I60" s="138">
        <v>5117208922</v>
      </c>
      <c r="J60" s="134"/>
      <c r="K60" s="134"/>
    </row>
    <row r="61" spans="1:11" ht="15" x14ac:dyDescent="0.25">
      <c r="A61" s="135" t="s">
        <v>262</v>
      </c>
      <c r="B61" s="137" t="s">
        <v>212</v>
      </c>
      <c r="C61" s="180"/>
      <c r="D61" s="132"/>
      <c r="E61" s="132" t="s">
        <v>210</v>
      </c>
      <c r="F61" s="172"/>
      <c r="G61" s="133"/>
      <c r="H61" s="133"/>
      <c r="I61" s="138">
        <v>5117291922</v>
      </c>
      <c r="J61" s="134"/>
      <c r="K61" s="134"/>
    </row>
    <row r="62" spans="1:11" x14ac:dyDescent="0.25">
      <c r="A62" s="130" t="s">
        <v>263</v>
      </c>
      <c r="B62" s="131" t="s">
        <v>264</v>
      </c>
      <c r="C62" s="180">
        <v>2400</v>
      </c>
      <c r="D62" s="132">
        <v>12</v>
      </c>
      <c r="E62" s="132">
        <v>200</v>
      </c>
      <c r="F62" s="172">
        <v>12.870000000000001</v>
      </c>
      <c r="G62" s="133">
        <f t="shared" si="0"/>
        <v>154.44</v>
      </c>
      <c r="H62" s="133">
        <f t="shared" si="1"/>
        <v>162.16</v>
      </c>
      <c r="I62" s="132">
        <v>3333752190</v>
      </c>
      <c r="J62" s="134"/>
      <c r="K62" s="134"/>
    </row>
    <row r="63" spans="1:11" ht="15" x14ac:dyDescent="0.25">
      <c r="A63" s="135" t="s">
        <v>265</v>
      </c>
      <c r="B63" s="136" t="s">
        <v>206</v>
      </c>
      <c r="C63" s="180"/>
      <c r="D63" s="132"/>
      <c r="E63" s="132" t="s">
        <v>207</v>
      </c>
      <c r="F63" s="172"/>
      <c r="G63" s="133"/>
      <c r="H63" s="133"/>
      <c r="I63" s="132">
        <v>10759350190</v>
      </c>
      <c r="J63" s="134"/>
      <c r="K63" s="134"/>
    </row>
    <row r="64" spans="1:11" ht="15" x14ac:dyDescent="0.25">
      <c r="A64" s="135" t="s">
        <v>266</v>
      </c>
      <c r="B64" s="137" t="s">
        <v>209</v>
      </c>
      <c r="C64" s="180"/>
      <c r="D64" s="132"/>
      <c r="E64" s="132" t="s">
        <v>210</v>
      </c>
      <c r="F64" s="172"/>
      <c r="G64" s="133"/>
      <c r="H64" s="133"/>
      <c r="I64" s="138">
        <v>5117208922</v>
      </c>
      <c r="J64" s="134"/>
      <c r="K64" s="134"/>
    </row>
    <row r="65" spans="1:11" ht="14.45" customHeight="1" x14ac:dyDescent="0.25">
      <c r="A65" s="135" t="s">
        <v>267</v>
      </c>
      <c r="B65" s="137" t="s">
        <v>212</v>
      </c>
      <c r="C65" s="180"/>
      <c r="D65" s="132"/>
      <c r="E65" s="132" t="s">
        <v>210</v>
      </c>
      <c r="F65" s="172"/>
      <c r="G65" s="133"/>
      <c r="H65" s="133"/>
      <c r="I65" s="138">
        <v>5117291922</v>
      </c>
      <c r="J65" s="134"/>
      <c r="K65" s="134"/>
    </row>
    <row r="66" spans="1:11" ht="21" customHeight="1" x14ac:dyDescent="0.25">
      <c r="A66" s="130" t="s">
        <v>268</v>
      </c>
      <c r="B66" s="141" t="s">
        <v>269</v>
      </c>
      <c r="C66" s="180">
        <v>2500</v>
      </c>
      <c r="D66" s="132">
        <v>7</v>
      </c>
      <c r="E66" s="132">
        <v>400</v>
      </c>
      <c r="F66" s="172">
        <v>24.88</v>
      </c>
      <c r="G66" s="133">
        <f t="shared" si="0"/>
        <v>174.16</v>
      </c>
      <c r="H66" s="133">
        <f t="shared" si="1"/>
        <v>182.87</v>
      </c>
      <c r="I66" s="132">
        <v>3002721122</v>
      </c>
      <c r="J66" s="134"/>
      <c r="K66" s="134"/>
    </row>
    <row r="67" spans="1:11" ht="15" x14ac:dyDescent="0.25">
      <c r="A67" s="135" t="s">
        <v>270</v>
      </c>
      <c r="B67" s="136" t="s">
        <v>206</v>
      </c>
      <c r="C67" s="180"/>
      <c r="D67" s="132"/>
      <c r="E67" s="132" t="s">
        <v>207</v>
      </c>
      <c r="F67" s="172"/>
      <c r="G67" s="133"/>
      <c r="H67" s="133"/>
      <c r="I67" s="132">
        <v>10759350190</v>
      </c>
      <c r="J67" s="134"/>
      <c r="K67" s="134"/>
    </row>
    <row r="68" spans="1:11" ht="15" x14ac:dyDescent="0.25">
      <c r="A68" s="135" t="s">
        <v>271</v>
      </c>
      <c r="B68" s="137" t="s">
        <v>209</v>
      </c>
      <c r="C68" s="180"/>
      <c r="D68" s="132"/>
      <c r="E68" s="132" t="s">
        <v>210</v>
      </c>
      <c r="F68" s="172"/>
      <c r="G68" s="133"/>
      <c r="H68" s="133"/>
      <c r="I68" s="138">
        <v>5117208922</v>
      </c>
      <c r="J68" s="134"/>
      <c r="K68" s="134"/>
    </row>
    <row r="69" spans="1:11" ht="15" x14ac:dyDescent="0.25">
      <c r="A69" s="135" t="s">
        <v>272</v>
      </c>
      <c r="B69" s="137" t="s">
        <v>212</v>
      </c>
      <c r="C69" s="180"/>
      <c r="D69" s="132"/>
      <c r="E69" s="132" t="s">
        <v>210</v>
      </c>
      <c r="F69" s="172"/>
      <c r="G69" s="133"/>
      <c r="H69" s="133"/>
      <c r="I69" s="138">
        <v>5117291922</v>
      </c>
      <c r="J69" s="134"/>
      <c r="K69" s="134"/>
    </row>
    <row r="70" spans="1:11" x14ac:dyDescent="0.25">
      <c r="A70" s="130" t="s">
        <v>273</v>
      </c>
      <c r="B70" s="131" t="s">
        <v>274</v>
      </c>
      <c r="C70" s="180">
        <v>2700</v>
      </c>
      <c r="D70" s="132">
        <v>9</v>
      </c>
      <c r="E70" s="132">
        <v>300</v>
      </c>
      <c r="F70" s="172">
        <v>64.47</v>
      </c>
      <c r="G70" s="133">
        <f t="shared" si="0"/>
        <v>580.23</v>
      </c>
      <c r="H70" s="133">
        <f t="shared" si="1"/>
        <v>609.24</v>
      </c>
      <c r="I70" s="132">
        <v>3183742122</v>
      </c>
      <c r="J70" s="134"/>
      <c r="K70" s="134"/>
    </row>
    <row r="71" spans="1:11" ht="15" x14ac:dyDescent="0.25">
      <c r="A71" s="135" t="s">
        <v>275</v>
      </c>
      <c r="B71" s="136" t="s">
        <v>206</v>
      </c>
      <c r="C71" s="180"/>
      <c r="D71" s="132"/>
      <c r="E71" s="132" t="s">
        <v>207</v>
      </c>
      <c r="F71" s="172"/>
      <c r="G71" s="133"/>
      <c r="H71" s="133"/>
      <c r="I71" s="132">
        <v>10759350190</v>
      </c>
      <c r="J71" s="134"/>
      <c r="K71" s="134"/>
    </row>
    <row r="72" spans="1:11" ht="15" x14ac:dyDescent="0.25">
      <c r="A72" s="135" t="s">
        <v>276</v>
      </c>
      <c r="B72" s="137" t="s">
        <v>209</v>
      </c>
      <c r="C72" s="180"/>
      <c r="D72" s="132"/>
      <c r="E72" s="132" t="s">
        <v>210</v>
      </c>
      <c r="F72" s="172"/>
      <c r="G72" s="133"/>
      <c r="H72" s="133"/>
      <c r="I72" s="138">
        <v>5117208922</v>
      </c>
      <c r="J72" s="134"/>
      <c r="K72" s="134"/>
    </row>
    <row r="73" spans="1:11" ht="15" x14ac:dyDescent="0.25">
      <c r="A73" s="135" t="s">
        <v>277</v>
      </c>
      <c r="B73" s="137" t="s">
        <v>212</v>
      </c>
      <c r="C73" s="180"/>
      <c r="D73" s="132"/>
      <c r="E73" s="132" t="s">
        <v>210</v>
      </c>
      <c r="F73" s="172"/>
      <c r="G73" s="133"/>
      <c r="H73" s="133"/>
      <c r="I73" s="138">
        <v>5117291922</v>
      </c>
      <c r="J73" s="134"/>
      <c r="K73" s="134"/>
    </row>
    <row r="74" spans="1:11" x14ac:dyDescent="0.25">
      <c r="A74" s="130" t="s">
        <v>278</v>
      </c>
      <c r="B74" s="131" t="s">
        <v>279</v>
      </c>
      <c r="C74" s="180">
        <v>330</v>
      </c>
      <c r="D74" s="132">
        <v>2</v>
      </c>
      <c r="E74" s="132">
        <v>200</v>
      </c>
      <c r="F74" s="172">
        <v>56.77</v>
      </c>
      <c r="G74" s="133">
        <f t="shared" si="0"/>
        <v>113.54</v>
      </c>
      <c r="H74" s="133">
        <f t="shared" si="1"/>
        <v>119.22</v>
      </c>
      <c r="I74" s="132">
        <v>20766623322</v>
      </c>
      <c r="J74" s="134"/>
      <c r="K74" s="134"/>
    </row>
    <row r="75" spans="1:11" ht="15" x14ac:dyDescent="0.25">
      <c r="A75" s="135" t="s">
        <v>280</v>
      </c>
      <c r="B75" s="136" t="s">
        <v>206</v>
      </c>
      <c r="C75" s="180"/>
      <c r="D75" s="132"/>
      <c r="E75" s="132" t="s">
        <v>207</v>
      </c>
      <c r="F75" s="172"/>
      <c r="G75" s="133"/>
      <c r="H75" s="133"/>
      <c r="I75" s="132">
        <v>10759350190</v>
      </c>
      <c r="J75" s="134"/>
      <c r="K75" s="134"/>
    </row>
    <row r="76" spans="1:11" ht="15" x14ac:dyDescent="0.25">
      <c r="A76" s="135" t="s">
        <v>281</v>
      </c>
      <c r="B76" s="137" t="s">
        <v>209</v>
      </c>
      <c r="C76" s="180"/>
      <c r="D76" s="132"/>
      <c r="E76" s="132" t="s">
        <v>210</v>
      </c>
      <c r="F76" s="172"/>
      <c r="G76" s="133"/>
      <c r="H76" s="133"/>
      <c r="I76" s="138">
        <v>5117208922</v>
      </c>
      <c r="J76" s="134"/>
      <c r="K76" s="134"/>
    </row>
    <row r="77" spans="1:11" ht="15" x14ac:dyDescent="0.25">
      <c r="A77" s="135" t="s">
        <v>282</v>
      </c>
      <c r="B77" s="137" t="s">
        <v>212</v>
      </c>
      <c r="C77" s="180"/>
      <c r="D77" s="132"/>
      <c r="E77" s="132" t="s">
        <v>210</v>
      </c>
      <c r="F77" s="172"/>
      <c r="G77" s="133"/>
      <c r="H77" s="133"/>
      <c r="I77" s="138">
        <v>5117291922</v>
      </c>
      <c r="J77" s="134"/>
      <c r="K77" s="134"/>
    </row>
    <row r="78" spans="1:11" x14ac:dyDescent="0.25">
      <c r="A78" s="130" t="s">
        <v>283</v>
      </c>
      <c r="B78" s="131" t="s">
        <v>284</v>
      </c>
      <c r="C78" s="180">
        <v>26000</v>
      </c>
      <c r="D78" s="132">
        <v>33</v>
      </c>
      <c r="E78" s="132">
        <v>800</v>
      </c>
      <c r="F78" s="172">
        <v>39.1</v>
      </c>
      <c r="G78" s="133">
        <f t="shared" si="0"/>
        <v>1290.3</v>
      </c>
      <c r="H78" s="133">
        <f t="shared" si="1"/>
        <v>1354.82</v>
      </c>
      <c r="I78" s="132">
        <v>4404483190</v>
      </c>
      <c r="J78" s="134"/>
      <c r="K78" s="134"/>
    </row>
    <row r="79" spans="1:11" ht="15" x14ac:dyDescent="0.25">
      <c r="A79" s="135" t="s">
        <v>285</v>
      </c>
      <c r="B79" s="136" t="s">
        <v>206</v>
      </c>
      <c r="C79" s="180"/>
      <c r="D79" s="132"/>
      <c r="E79" s="132" t="s">
        <v>207</v>
      </c>
      <c r="F79" s="172"/>
      <c r="G79" s="133"/>
      <c r="H79" s="133"/>
      <c r="I79" s="132">
        <v>10759350190</v>
      </c>
      <c r="J79" s="134"/>
      <c r="K79" s="134"/>
    </row>
    <row r="80" spans="1:11" ht="15" x14ac:dyDescent="0.25">
      <c r="A80" s="135" t="s">
        <v>286</v>
      </c>
      <c r="B80" s="137" t="s">
        <v>209</v>
      </c>
      <c r="C80" s="180"/>
      <c r="D80" s="132"/>
      <c r="E80" s="132" t="s">
        <v>210</v>
      </c>
      <c r="F80" s="172"/>
      <c r="G80" s="133"/>
      <c r="H80" s="133"/>
      <c r="I80" s="138">
        <v>5117208922</v>
      </c>
      <c r="J80" s="134"/>
      <c r="K80" s="134"/>
    </row>
    <row r="81" spans="1:11" ht="15" x14ac:dyDescent="0.25">
      <c r="A81" s="135" t="s">
        <v>287</v>
      </c>
      <c r="B81" s="137" t="s">
        <v>212</v>
      </c>
      <c r="C81" s="180"/>
      <c r="D81" s="132"/>
      <c r="E81" s="132" t="s">
        <v>210</v>
      </c>
      <c r="F81" s="172"/>
      <c r="G81" s="133"/>
      <c r="H81" s="133"/>
      <c r="I81" s="138">
        <v>5117291922</v>
      </c>
      <c r="J81" s="134"/>
      <c r="K81" s="134"/>
    </row>
    <row r="82" spans="1:11" x14ac:dyDescent="0.25">
      <c r="A82" s="130" t="s">
        <v>288</v>
      </c>
      <c r="B82" s="131" t="s">
        <v>289</v>
      </c>
      <c r="C82" s="180">
        <v>8300</v>
      </c>
      <c r="D82" s="132">
        <v>21</v>
      </c>
      <c r="E82" s="132">
        <v>400</v>
      </c>
      <c r="F82" s="172">
        <v>24.3</v>
      </c>
      <c r="G82" s="133">
        <f t="shared" si="0"/>
        <v>510.3</v>
      </c>
      <c r="H82" s="133">
        <f t="shared" si="1"/>
        <v>535.82000000000005</v>
      </c>
      <c r="I82" s="132">
        <v>3039773190</v>
      </c>
      <c r="J82" s="134"/>
      <c r="K82" s="134"/>
    </row>
    <row r="83" spans="1:11" ht="15" x14ac:dyDescent="0.25">
      <c r="A83" s="135" t="s">
        <v>290</v>
      </c>
      <c r="B83" s="136" t="s">
        <v>206</v>
      </c>
      <c r="C83" s="180"/>
      <c r="D83" s="132"/>
      <c r="E83" s="132" t="s">
        <v>207</v>
      </c>
      <c r="F83" s="172"/>
      <c r="G83" s="133"/>
      <c r="H83" s="133"/>
      <c r="I83" s="132">
        <v>10759350190</v>
      </c>
      <c r="J83" s="134"/>
      <c r="K83" s="134"/>
    </row>
    <row r="84" spans="1:11" ht="15" x14ac:dyDescent="0.25">
      <c r="A84" s="135" t="s">
        <v>291</v>
      </c>
      <c r="B84" s="137" t="s">
        <v>209</v>
      </c>
      <c r="C84" s="180"/>
      <c r="D84" s="132"/>
      <c r="E84" s="132" t="s">
        <v>210</v>
      </c>
      <c r="F84" s="172"/>
      <c r="G84" s="133"/>
      <c r="H84" s="133"/>
      <c r="I84" s="138">
        <v>5117208922</v>
      </c>
      <c r="J84" s="134"/>
      <c r="K84" s="134"/>
    </row>
    <row r="85" spans="1:11" ht="15" x14ac:dyDescent="0.25">
      <c r="A85" s="135" t="s">
        <v>292</v>
      </c>
      <c r="B85" s="137" t="s">
        <v>212</v>
      </c>
      <c r="C85" s="180"/>
      <c r="D85" s="132"/>
      <c r="E85" s="132" t="s">
        <v>210</v>
      </c>
      <c r="F85" s="172"/>
      <c r="G85" s="133"/>
      <c r="H85" s="133"/>
      <c r="I85" s="138">
        <v>5117291922</v>
      </c>
      <c r="J85" s="134"/>
      <c r="K85" s="134"/>
    </row>
    <row r="86" spans="1:11" x14ac:dyDescent="0.25">
      <c r="A86" s="130" t="s">
        <v>293</v>
      </c>
      <c r="B86" s="131" t="s">
        <v>294</v>
      </c>
      <c r="C86" s="180">
        <v>5000</v>
      </c>
      <c r="D86" s="132">
        <v>20</v>
      </c>
      <c r="E86" s="132">
        <v>250</v>
      </c>
      <c r="F86" s="172">
        <v>23.46</v>
      </c>
      <c r="G86" s="133">
        <f t="shared" ref="G86:G146" si="2">F86*D86</f>
        <v>469.20000000000005</v>
      </c>
      <c r="H86" s="133">
        <f t="shared" ref="H86:H146" si="3">ROUND(G86*1.05,2)</f>
        <v>492.66</v>
      </c>
      <c r="I86" s="132">
        <v>20767107322</v>
      </c>
      <c r="J86" s="134"/>
      <c r="K86" s="134"/>
    </row>
    <row r="87" spans="1:11" ht="15" x14ac:dyDescent="0.25">
      <c r="A87" s="135" t="s">
        <v>295</v>
      </c>
      <c r="B87" s="136" t="s">
        <v>206</v>
      </c>
      <c r="C87" s="180"/>
      <c r="D87" s="132"/>
      <c r="E87" s="132" t="s">
        <v>207</v>
      </c>
      <c r="F87" s="172"/>
      <c r="G87" s="133"/>
      <c r="H87" s="133"/>
      <c r="I87" s="132">
        <v>10759350190</v>
      </c>
      <c r="J87" s="134"/>
      <c r="K87" s="134"/>
    </row>
    <row r="88" spans="1:11" ht="15" x14ac:dyDescent="0.25">
      <c r="A88" s="135" t="s">
        <v>296</v>
      </c>
      <c r="B88" s="137" t="s">
        <v>209</v>
      </c>
      <c r="C88" s="180"/>
      <c r="D88" s="132"/>
      <c r="E88" s="132" t="s">
        <v>210</v>
      </c>
      <c r="F88" s="172"/>
      <c r="G88" s="133"/>
      <c r="H88" s="133"/>
      <c r="I88" s="138">
        <v>5117208922</v>
      </c>
      <c r="J88" s="134"/>
      <c r="K88" s="134"/>
    </row>
    <row r="89" spans="1:11" ht="15" x14ac:dyDescent="0.25">
      <c r="A89" s="135" t="s">
        <v>297</v>
      </c>
      <c r="B89" s="137" t="s">
        <v>212</v>
      </c>
      <c r="C89" s="180"/>
      <c r="D89" s="132"/>
      <c r="E89" s="132" t="s">
        <v>210</v>
      </c>
      <c r="F89" s="172"/>
      <c r="G89" s="133"/>
      <c r="H89" s="133"/>
      <c r="I89" s="138">
        <v>5117291922</v>
      </c>
      <c r="J89" s="134"/>
      <c r="K89" s="134"/>
    </row>
    <row r="90" spans="1:11" ht="31.5" x14ac:dyDescent="0.25">
      <c r="A90" s="130" t="s">
        <v>298</v>
      </c>
      <c r="B90" s="131" t="s">
        <v>299</v>
      </c>
      <c r="C90" s="180">
        <v>5000</v>
      </c>
      <c r="D90" s="132">
        <v>25</v>
      </c>
      <c r="E90" s="132">
        <v>200</v>
      </c>
      <c r="F90" s="172">
        <v>47.21</v>
      </c>
      <c r="G90" s="133">
        <f t="shared" si="2"/>
        <v>1180.25</v>
      </c>
      <c r="H90" s="133">
        <f t="shared" si="3"/>
        <v>1239.26</v>
      </c>
      <c r="I90" s="132">
        <v>4399803190</v>
      </c>
      <c r="J90" s="134"/>
      <c r="K90" s="134"/>
    </row>
    <row r="91" spans="1:11" ht="15" x14ac:dyDescent="0.25">
      <c r="A91" s="135" t="s">
        <v>300</v>
      </c>
      <c r="B91" s="136" t="s">
        <v>301</v>
      </c>
      <c r="C91" s="180"/>
      <c r="D91" s="132">
        <v>1</v>
      </c>
      <c r="E91" s="132" t="s">
        <v>302</v>
      </c>
      <c r="F91" s="172">
        <v>50.68</v>
      </c>
      <c r="G91" s="133">
        <f t="shared" si="2"/>
        <v>50.68</v>
      </c>
      <c r="H91" s="133">
        <f t="shared" si="3"/>
        <v>53.21</v>
      </c>
      <c r="I91" s="132">
        <v>12172623122</v>
      </c>
      <c r="J91" s="134"/>
      <c r="K91" s="134"/>
    </row>
    <row r="92" spans="1:11" ht="15" x14ac:dyDescent="0.25">
      <c r="A92" s="135" t="s">
        <v>303</v>
      </c>
      <c r="B92" s="137" t="s">
        <v>209</v>
      </c>
      <c r="C92" s="180"/>
      <c r="D92" s="132"/>
      <c r="E92" s="132" t="s">
        <v>210</v>
      </c>
      <c r="F92" s="172"/>
      <c r="G92" s="133"/>
      <c r="H92" s="133"/>
      <c r="I92" s="138">
        <v>5117208922</v>
      </c>
      <c r="J92" s="134"/>
      <c r="K92" s="134"/>
    </row>
    <row r="93" spans="1:11" ht="15" x14ac:dyDescent="0.25">
      <c r="A93" s="135" t="s">
        <v>304</v>
      </c>
      <c r="B93" s="137" t="s">
        <v>212</v>
      </c>
      <c r="C93" s="180"/>
      <c r="D93" s="132"/>
      <c r="E93" s="132" t="s">
        <v>210</v>
      </c>
      <c r="F93" s="172"/>
      <c r="G93" s="133"/>
      <c r="H93" s="133"/>
      <c r="I93" s="138">
        <v>5117291922</v>
      </c>
      <c r="J93" s="134"/>
      <c r="K93" s="134"/>
    </row>
    <row r="94" spans="1:11" ht="31.5" x14ac:dyDescent="0.25">
      <c r="A94" s="130" t="s">
        <v>305</v>
      </c>
      <c r="B94" s="131" t="s">
        <v>306</v>
      </c>
      <c r="C94" s="180">
        <v>5000</v>
      </c>
      <c r="D94" s="132">
        <v>25</v>
      </c>
      <c r="E94" s="132">
        <v>200</v>
      </c>
      <c r="F94" s="172">
        <v>121.5</v>
      </c>
      <c r="G94" s="133">
        <f t="shared" si="2"/>
        <v>3037.5</v>
      </c>
      <c r="H94" s="133">
        <f t="shared" si="3"/>
        <v>3189.38</v>
      </c>
      <c r="I94" s="132">
        <v>7005717190</v>
      </c>
      <c r="J94" s="142"/>
      <c r="K94" s="142"/>
    </row>
    <row r="95" spans="1:11" ht="15" x14ac:dyDescent="0.25">
      <c r="A95" s="135" t="s">
        <v>307</v>
      </c>
      <c r="B95" s="136" t="s">
        <v>301</v>
      </c>
      <c r="C95" s="180"/>
      <c r="D95" s="132">
        <v>1</v>
      </c>
      <c r="E95" s="132" t="s">
        <v>302</v>
      </c>
      <c r="F95" s="172">
        <v>50.68</v>
      </c>
      <c r="G95" s="133">
        <f t="shared" si="2"/>
        <v>50.68</v>
      </c>
      <c r="H95" s="133">
        <f t="shared" si="3"/>
        <v>53.21</v>
      </c>
      <c r="I95" s="132">
        <v>12172623122</v>
      </c>
      <c r="J95" s="134"/>
      <c r="K95" s="134"/>
    </row>
    <row r="96" spans="1:11" ht="15" x14ac:dyDescent="0.25">
      <c r="A96" s="135" t="s">
        <v>308</v>
      </c>
      <c r="B96" s="137" t="s">
        <v>209</v>
      </c>
      <c r="C96" s="180"/>
      <c r="D96" s="132"/>
      <c r="E96" s="132" t="s">
        <v>210</v>
      </c>
      <c r="F96" s="172"/>
      <c r="G96" s="133"/>
      <c r="H96" s="133"/>
      <c r="I96" s="138">
        <v>5117208922</v>
      </c>
      <c r="J96" s="134"/>
      <c r="K96" s="134"/>
    </row>
    <row r="97" spans="1:11" ht="15" x14ac:dyDescent="0.25">
      <c r="A97" s="135" t="s">
        <v>309</v>
      </c>
      <c r="B97" s="137" t="s">
        <v>212</v>
      </c>
      <c r="C97" s="180"/>
      <c r="D97" s="132"/>
      <c r="E97" s="132" t="s">
        <v>210</v>
      </c>
      <c r="F97" s="172"/>
      <c r="G97" s="133"/>
      <c r="H97" s="133"/>
      <c r="I97" s="138">
        <v>5117291922</v>
      </c>
      <c r="J97" s="134"/>
      <c r="K97" s="134"/>
    </row>
    <row r="98" spans="1:11" x14ac:dyDescent="0.25">
      <c r="A98" s="130" t="s">
        <v>310</v>
      </c>
      <c r="B98" s="131" t="s">
        <v>311</v>
      </c>
      <c r="C98" s="143">
        <v>8300</v>
      </c>
      <c r="D98" s="132">
        <v>2</v>
      </c>
      <c r="E98" s="132" t="s">
        <v>312</v>
      </c>
      <c r="F98" s="172">
        <v>194.98</v>
      </c>
      <c r="G98" s="133">
        <f t="shared" si="2"/>
        <v>389.96</v>
      </c>
      <c r="H98" s="133">
        <f t="shared" si="3"/>
        <v>409.46</v>
      </c>
      <c r="I98" s="132">
        <v>10825441001</v>
      </c>
      <c r="J98" s="134"/>
      <c r="K98" s="134"/>
    </row>
    <row r="99" spans="1:11" x14ac:dyDescent="0.25">
      <c r="A99" s="130" t="s">
        <v>313</v>
      </c>
      <c r="B99" s="131" t="s">
        <v>314</v>
      </c>
      <c r="C99" s="143">
        <v>8300</v>
      </c>
      <c r="D99" s="132">
        <v>2</v>
      </c>
      <c r="E99" s="132" t="s">
        <v>312</v>
      </c>
      <c r="F99" s="172">
        <v>222.84</v>
      </c>
      <c r="G99" s="133">
        <f t="shared" si="2"/>
        <v>445.68</v>
      </c>
      <c r="H99" s="133">
        <f t="shared" si="3"/>
        <v>467.96</v>
      </c>
      <c r="I99" s="132">
        <v>10825468001</v>
      </c>
      <c r="J99" s="134"/>
      <c r="K99" s="134"/>
    </row>
    <row r="100" spans="1:11" x14ac:dyDescent="0.25">
      <c r="A100" s="130" t="s">
        <v>315</v>
      </c>
      <c r="B100" s="131" t="s">
        <v>316</v>
      </c>
      <c r="C100" s="143">
        <v>6000</v>
      </c>
      <c r="D100" s="132">
        <v>2</v>
      </c>
      <c r="E100" s="132" t="s">
        <v>312</v>
      </c>
      <c r="F100" s="172">
        <v>275.86</v>
      </c>
      <c r="G100" s="133">
        <f t="shared" si="2"/>
        <v>551.72</v>
      </c>
      <c r="H100" s="133">
        <f t="shared" si="3"/>
        <v>579.30999999999995</v>
      </c>
      <c r="I100" s="132">
        <v>3246353001</v>
      </c>
      <c r="J100" s="134"/>
      <c r="K100" s="134"/>
    </row>
    <row r="101" spans="1:11" x14ac:dyDescent="0.25">
      <c r="A101" s="130" t="s">
        <v>317</v>
      </c>
      <c r="B101" s="131" t="s">
        <v>318</v>
      </c>
      <c r="C101" s="180">
        <v>9300</v>
      </c>
      <c r="D101" s="132">
        <v>31</v>
      </c>
      <c r="E101" s="132">
        <v>300</v>
      </c>
      <c r="F101" s="172">
        <v>19.420000000000002</v>
      </c>
      <c r="G101" s="133">
        <f t="shared" si="2"/>
        <v>602.0200000000001</v>
      </c>
      <c r="H101" s="133">
        <f t="shared" si="3"/>
        <v>632.12</v>
      </c>
      <c r="I101" s="132">
        <v>5061482190</v>
      </c>
      <c r="J101" s="134"/>
      <c r="K101" s="134"/>
    </row>
    <row r="102" spans="1:11" ht="15" x14ac:dyDescent="0.25">
      <c r="A102" s="135" t="s">
        <v>319</v>
      </c>
      <c r="B102" s="136" t="s">
        <v>206</v>
      </c>
      <c r="C102" s="180"/>
      <c r="D102" s="132"/>
      <c r="E102" s="132" t="s">
        <v>207</v>
      </c>
      <c r="F102" s="172"/>
      <c r="G102" s="133"/>
      <c r="H102" s="133"/>
      <c r="I102" s="132">
        <v>10759350190</v>
      </c>
      <c r="J102" s="134"/>
      <c r="K102" s="134"/>
    </row>
    <row r="103" spans="1:11" ht="15" x14ac:dyDescent="0.25">
      <c r="A103" s="135" t="s">
        <v>320</v>
      </c>
      <c r="B103" s="137" t="s">
        <v>209</v>
      </c>
      <c r="C103" s="180"/>
      <c r="D103" s="132"/>
      <c r="E103" s="132" t="s">
        <v>210</v>
      </c>
      <c r="F103" s="172"/>
      <c r="G103" s="133"/>
      <c r="H103" s="133"/>
      <c r="I103" s="138">
        <v>5117208922</v>
      </c>
      <c r="J103" s="134"/>
      <c r="K103" s="134"/>
    </row>
    <row r="104" spans="1:11" ht="15" x14ac:dyDescent="0.25">
      <c r="A104" s="135" t="s">
        <v>321</v>
      </c>
      <c r="B104" s="137" t="s">
        <v>212</v>
      </c>
      <c r="C104" s="180"/>
      <c r="D104" s="132"/>
      <c r="E104" s="132" t="s">
        <v>210</v>
      </c>
      <c r="F104" s="172"/>
      <c r="G104" s="133"/>
      <c r="H104" s="133"/>
      <c r="I104" s="138">
        <v>5117291922</v>
      </c>
      <c r="J104" s="134"/>
      <c r="K104" s="134"/>
    </row>
    <row r="105" spans="1:11" x14ac:dyDescent="0.25">
      <c r="A105" s="130" t="s">
        <v>322</v>
      </c>
      <c r="B105" s="131" t="s">
        <v>323</v>
      </c>
      <c r="C105" s="180">
        <v>8000</v>
      </c>
      <c r="D105" s="132">
        <v>32</v>
      </c>
      <c r="E105" s="132">
        <v>250</v>
      </c>
      <c r="F105" s="172">
        <v>50.64</v>
      </c>
      <c r="G105" s="133">
        <f t="shared" si="2"/>
        <v>1620.48</v>
      </c>
      <c r="H105" s="133">
        <f t="shared" si="3"/>
        <v>1701.5</v>
      </c>
      <c r="I105" s="132">
        <v>6481647190</v>
      </c>
      <c r="J105" s="134"/>
      <c r="K105" s="134"/>
    </row>
    <row r="106" spans="1:11" ht="15" x14ac:dyDescent="0.25">
      <c r="A106" s="135" t="s">
        <v>324</v>
      </c>
      <c r="B106" s="136" t="s">
        <v>206</v>
      </c>
      <c r="C106" s="180"/>
      <c r="D106" s="132"/>
      <c r="E106" s="132" t="s">
        <v>207</v>
      </c>
      <c r="F106" s="172"/>
      <c r="G106" s="133"/>
      <c r="H106" s="133"/>
      <c r="I106" s="132">
        <v>10759350190</v>
      </c>
      <c r="J106" s="134"/>
      <c r="K106" s="134"/>
    </row>
    <row r="107" spans="1:11" ht="15" x14ac:dyDescent="0.25">
      <c r="A107" s="135" t="s">
        <v>325</v>
      </c>
      <c r="B107" s="137" t="s">
        <v>209</v>
      </c>
      <c r="C107" s="180"/>
      <c r="D107" s="132"/>
      <c r="E107" s="132" t="s">
        <v>210</v>
      </c>
      <c r="F107" s="172"/>
      <c r="G107" s="133"/>
      <c r="H107" s="133"/>
      <c r="I107" s="138">
        <v>5117208922</v>
      </c>
      <c r="J107" s="144"/>
      <c r="K107" s="144"/>
    </row>
    <row r="108" spans="1:11" ht="15" x14ac:dyDescent="0.25">
      <c r="A108" s="135" t="s">
        <v>326</v>
      </c>
      <c r="B108" s="137" t="s">
        <v>212</v>
      </c>
      <c r="C108" s="180"/>
      <c r="D108" s="132"/>
      <c r="E108" s="132" t="s">
        <v>210</v>
      </c>
      <c r="F108" s="172"/>
      <c r="G108" s="133"/>
      <c r="H108" s="133"/>
      <c r="I108" s="138">
        <v>5117291922</v>
      </c>
      <c r="J108" s="144"/>
      <c r="K108" s="144"/>
    </row>
    <row r="109" spans="1:11" x14ac:dyDescent="0.25">
      <c r="A109" s="130" t="s">
        <v>327</v>
      </c>
      <c r="B109" s="131" t="s">
        <v>328</v>
      </c>
      <c r="C109" s="180">
        <v>2700</v>
      </c>
      <c r="D109" s="132">
        <v>14</v>
      </c>
      <c r="E109" s="132">
        <v>200</v>
      </c>
      <c r="F109" s="172">
        <v>22.42</v>
      </c>
      <c r="G109" s="133">
        <f t="shared" si="2"/>
        <v>313.88</v>
      </c>
      <c r="H109" s="133">
        <f t="shared" si="3"/>
        <v>329.57</v>
      </c>
      <c r="I109" s="132">
        <v>3183696122</v>
      </c>
      <c r="J109" s="134"/>
      <c r="K109" s="134"/>
    </row>
    <row r="110" spans="1:11" ht="15" x14ac:dyDescent="0.25">
      <c r="A110" s="135" t="s">
        <v>329</v>
      </c>
      <c r="B110" s="136" t="s">
        <v>206</v>
      </c>
      <c r="C110" s="180"/>
      <c r="D110" s="132"/>
      <c r="E110" s="132" t="s">
        <v>207</v>
      </c>
      <c r="F110" s="172"/>
      <c r="G110" s="133"/>
      <c r="H110" s="133"/>
      <c r="I110" s="132">
        <v>10759350190</v>
      </c>
      <c r="J110" s="134"/>
      <c r="K110" s="134"/>
    </row>
    <row r="111" spans="1:11" ht="15" x14ac:dyDescent="0.25">
      <c r="A111" s="135" t="s">
        <v>330</v>
      </c>
      <c r="B111" s="137" t="s">
        <v>209</v>
      </c>
      <c r="C111" s="180"/>
      <c r="D111" s="132"/>
      <c r="E111" s="132" t="s">
        <v>210</v>
      </c>
      <c r="F111" s="172"/>
      <c r="G111" s="133"/>
      <c r="H111" s="133"/>
      <c r="I111" s="138">
        <v>5117208922</v>
      </c>
      <c r="J111" s="144"/>
      <c r="K111" s="144"/>
    </row>
    <row r="112" spans="1:11" ht="15" x14ac:dyDescent="0.25">
      <c r="A112" s="135" t="s">
        <v>331</v>
      </c>
      <c r="B112" s="137" t="s">
        <v>212</v>
      </c>
      <c r="C112" s="180"/>
      <c r="D112" s="132"/>
      <c r="E112" s="132" t="s">
        <v>210</v>
      </c>
      <c r="F112" s="172"/>
      <c r="G112" s="133"/>
      <c r="H112" s="133"/>
      <c r="I112" s="138">
        <v>5117291922</v>
      </c>
      <c r="J112" s="144"/>
      <c r="K112" s="144"/>
    </row>
    <row r="113" spans="1:11" x14ac:dyDescent="0.25">
      <c r="A113" s="130" t="s">
        <v>332</v>
      </c>
      <c r="B113" s="131" t="s">
        <v>333</v>
      </c>
      <c r="C113" s="180">
        <v>2300</v>
      </c>
      <c r="D113" s="132">
        <v>10</v>
      </c>
      <c r="E113" s="132">
        <v>250</v>
      </c>
      <c r="F113" s="172">
        <v>12.36</v>
      </c>
      <c r="G113" s="133">
        <f t="shared" si="2"/>
        <v>123.6</v>
      </c>
      <c r="H113" s="133">
        <f t="shared" si="3"/>
        <v>129.78</v>
      </c>
      <c r="I113" s="132">
        <v>3183793122</v>
      </c>
      <c r="J113" s="134"/>
      <c r="K113" s="134"/>
    </row>
    <row r="114" spans="1:11" ht="15" x14ac:dyDescent="0.25">
      <c r="A114" s="145" t="s">
        <v>334</v>
      </c>
      <c r="B114" s="136" t="s">
        <v>206</v>
      </c>
      <c r="C114" s="180"/>
      <c r="D114" s="132"/>
      <c r="E114" s="132" t="s">
        <v>207</v>
      </c>
      <c r="F114" s="172"/>
      <c r="G114" s="133"/>
      <c r="H114" s="133"/>
      <c r="I114" s="132">
        <v>10759350190</v>
      </c>
      <c r="J114" s="134"/>
      <c r="K114" s="134"/>
    </row>
    <row r="115" spans="1:11" ht="15" x14ac:dyDescent="0.25">
      <c r="A115" s="145" t="s">
        <v>335</v>
      </c>
      <c r="B115" s="137" t="s">
        <v>209</v>
      </c>
      <c r="C115" s="180"/>
      <c r="D115" s="132"/>
      <c r="E115" s="132" t="s">
        <v>210</v>
      </c>
      <c r="F115" s="172"/>
      <c r="G115" s="133"/>
      <c r="H115" s="133"/>
      <c r="I115" s="138">
        <v>5117208922</v>
      </c>
      <c r="J115" s="144"/>
      <c r="K115" s="144"/>
    </row>
    <row r="116" spans="1:11" ht="15" x14ac:dyDescent="0.25">
      <c r="A116" s="145" t="s">
        <v>336</v>
      </c>
      <c r="B116" s="137" t="s">
        <v>212</v>
      </c>
      <c r="C116" s="180"/>
      <c r="D116" s="132"/>
      <c r="E116" s="132" t="s">
        <v>210</v>
      </c>
      <c r="F116" s="172"/>
      <c r="G116" s="133"/>
      <c r="H116" s="133"/>
      <c r="I116" s="138">
        <v>5117291922</v>
      </c>
      <c r="J116" s="144"/>
      <c r="K116" s="144"/>
    </row>
    <row r="117" spans="1:11" ht="31.5" x14ac:dyDescent="0.25">
      <c r="A117" s="130" t="s">
        <v>337</v>
      </c>
      <c r="B117" s="131" t="s">
        <v>338</v>
      </c>
      <c r="C117" s="180">
        <v>1000</v>
      </c>
      <c r="D117" s="132">
        <v>7</v>
      </c>
      <c r="E117" s="132">
        <v>150</v>
      </c>
      <c r="F117" s="172">
        <v>140.75</v>
      </c>
      <c r="G117" s="133">
        <f t="shared" si="2"/>
        <v>985.25</v>
      </c>
      <c r="H117" s="133">
        <f t="shared" si="3"/>
        <v>1034.51</v>
      </c>
      <c r="I117" s="132">
        <v>5336163190</v>
      </c>
      <c r="J117" s="134"/>
      <c r="K117" s="134"/>
    </row>
    <row r="118" spans="1:11" ht="15" x14ac:dyDescent="0.25">
      <c r="A118" s="135" t="s">
        <v>339</v>
      </c>
      <c r="B118" s="136" t="s">
        <v>340</v>
      </c>
      <c r="C118" s="180"/>
      <c r="D118" s="132">
        <v>2</v>
      </c>
      <c r="E118" s="132" t="s">
        <v>341</v>
      </c>
      <c r="F118" s="173">
        <v>115.85</v>
      </c>
      <c r="G118" s="133">
        <f t="shared" si="2"/>
        <v>231.7</v>
      </c>
      <c r="H118" s="133">
        <f t="shared" si="3"/>
        <v>243.29</v>
      </c>
      <c r="I118" s="132">
        <v>4528417190</v>
      </c>
      <c r="J118" s="134"/>
      <c r="K118" s="134"/>
    </row>
    <row r="119" spans="1:11" ht="15" x14ac:dyDescent="0.25">
      <c r="A119" s="135" t="s">
        <v>342</v>
      </c>
      <c r="B119" s="136" t="s">
        <v>343</v>
      </c>
      <c r="C119" s="180"/>
      <c r="D119" s="132">
        <v>1</v>
      </c>
      <c r="E119" s="132" t="s">
        <v>344</v>
      </c>
      <c r="F119" s="173">
        <v>99.05</v>
      </c>
      <c r="G119" s="133">
        <f t="shared" si="2"/>
        <v>99.05</v>
      </c>
      <c r="H119" s="133">
        <f t="shared" si="3"/>
        <v>104</v>
      </c>
      <c r="I119" s="132">
        <v>5479207190</v>
      </c>
      <c r="J119" s="134"/>
      <c r="K119" s="134"/>
    </row>
    <row r="120" spans="1:11" ht="15" x14ac:dyDescent="0.25">
      <c r="A120" s="135" t="s">
        <v>345</v>
      </c>
      <c r="B120" s="136" t="s">
        <v>346</v>
      </c>
      <c r="C120" s="180"/>
      <c r="D120" s="132">
        <v>1</v>
      </c>
      <c r="E120" s="132" t="s">
        <v>344</v>
      </c>
      <c r="F120" s="173">
        <v>99.05</v>
      </c>
      <c r="G120" s="133">
        <f t="shared" si="2"/>
        <v>99.05</v>
      </c>
      <c r="H120" s="133">
        <f t="shared" si="3"/>
        <v>104</v>
      </c>
      <c r="I120" s="132">
        <v>5912504190</v>
      </c>
      <c r="J120" s="134"/>
      <c r="K120" s="134"/>
    </row>
    <row r="121" spans="1:11" ht="15" x14ac:dyDescent="0.25">
      <c r="A121" s="135" t="s">
        <v>347</v>
      </c>
      <c r="B121" s="136" t="s">
        <v>348</v>
      </c>
      <c r="C121" s="180"/>
      <c r="D121" s="132">
        <v>2</v>
      </c>
      <c r="E121" s="132" t="s">
        <v>349</v>
      </c>
      <c r="F121" s="173">
        <v>40.549999999999997</v>
      </c>
      <c r="G121" s="133">
        <f t="shared" si="2"/>
        <v>81.099999999999994</v>
      </c>
      <c r="H121" s="133">
        <f t="shared" si="3"/>
        <v>85.16</v>
      </c>
      <c r="I121" s="132">
        <v>4528182190</v>
      </c>
      <c r="J121" s="134"/>
      <c r="K121" s="134"/>
    </row>
    <row r="122" spans="1:11" x14ac:dyDescent="0.25">
      <c r="A122" s="130" t="s">
        <v>350</v>
      </c>
      <c r="B122" s="131" t="s">
        <v>351</v>
      </c>
      <c r="C122" s="180">
        <v>800</v>
      </c>
      <c r="D122" s="132">
        <v>8</v>
      </c>
      <c r="E122" s="132">
        <v>100</v>
      </c>
      <c r="F122" s="172">
        <v>64.86</v>
      </c>
      <c r="G122" s="133">
        <f t="shared" si="2"/>
        <v>518.88</v>
      </c>
      <c r="H122" s="133">
        <f t="shared" si="3"/>
        <v>544.82000000000005</v>
      </c>
      <c r="I122" s="132">
        <v>20764574322</v>
      </c>
      <c r="J122" s="134"/>
      <c r="K122" s="134"/>
    </row>
    <row r="123" spans="1:11" ht="15" x14ac:dyDescent="0.25">
      <c r="A123" s="146" t="s">
        <v>352</v>
      </c>
      <c r="B123" s="136" t="s">
        <v>353</v>
      </c>
      <c r="C123" s="180"/>
      <c r="D123" s="132">
        <v>1</v>
      </c>
      <c r="E123" s="132" t="s">
        <v>216</v>
      </c>
      <c r="F123" s="172">
        <v>49.73</v>
      </c>
      <c r="G123" s="133">
        <f t="shared" si="2"/>
        <v>49.73</v>
      </c>
      <c r="H123" s="133">
        <f t="shared" si="3"/>
        <v>52.22</v>
      </c>
      <c r="I123" s="132">
        <v>12172828322</v>
      </c>
      <c r="J123" s="134"/>
      <c r="K123" s="134"/>
    </row>
    <row r="124" spans="1:11" ht="15" x14ac:dyDescent="0.25">
      <c r="A124" s="145" t="s">
        <v>354</v>
      </c>
      <c r="B124" s="136" t="s">
        <v>355</v>
      </c>
      <c r="C124" s="180"/>
      <c r="D124" s="132">
        <v>3</v>
      </c>
      <c r="E124" s="132" t="s">
        <v>344</v>
      </c>
      <c r="F124" s="172">
        <v>78.2</v>
      </c>
      <c r="G124" s="133">
        <f t="shared" si="2"/>
        <v>234.60000000000002</v>
      </c>
      <c r="H124" s="133">
        <f t="shared" si="3"/>
        <v>246.33</v>
      </c>
      <c r="I124" s="132">
        <v>3005496122</v>
      </c>
      <c r="J124" s="134"/>
      <c r="K124" s="134"/>
    </row>
    <row r="125" spans="1:11" x14ac:dyDescent="0.25">
      <c r="A125" s="130" t="s">
        <v>356</v>
      </c>
      <c r="B125" s="131" t="s">
        <v>357</v>
      </c>
      <c r="C125" s="180">
        <v>630</v>
      </c>
      <c r="D125" s="132">
        <v>5</v>
      </c>
      <c r="E125" s="132">
        <v>150</v>
      </c>
      <c r="F125" s="172">
        <v>80</v>
      </c>
      <c r="G125" s="133">
        <f t="shared" si="2"/>
        <v>400</v>
      </c>
      <c r="H125" s="133">
        <f t="shared" si="3"/>
        <v>420</v>
      </c>
      <c r="I125" s="132">
        <v>3507432190</v>
      </c>
      <c r="J125" s="147"/>
      <c r="K125" s="147"/>
    </row>
    <row r="126" spans="1:11" ht="15" x14ac:dyDescent="0.25">
      <c r="A126" s="146" t="s">
        <v>358</v>
      </c>
      <c r="B126" s="136" t="s">
        <v>225</v>
      </c>
      <c r="C126" s="180"/>
      <c r="D126" s="132">
        <v>1</v>
      </c>
      <c r="E126" s="132" t="s">
        <v>216</v>
      </c>
      <c r="F126" s="172">
        <v>125.64</v>
      </c>
      <c r="G126" s="133">
        <f t="shared" si="2"/>
        <v>125.64</v>
      </c>
      <c r="H126" s="133">
        <f t="shared" si="3"/>
        <v>131.91999999999999</v>
      </c>
      <c r="I126" s="132">
        <v>11355279216</v>
      </c>
      <c r="J126" s="148"/>
      <c r="K126" s="148"/>
    </row>
    <row r="127" spans="1:11" ht="15" x14ac:dyDescent="0.25">
      <c r="A127" s="145" t="s">
        <v>359</v>
      </c>
      <c r="B127" s="137" t="s">
        <v>209</v>
      </c>
      <c r="C127" s="180"/>
      <c r="D127" s="132"/>
      <c r="E127" s="132" t="s">
        <v>210</v>
      </c>
      <c r="F127" s="172"/>
      <c r="G127" s="133"/>
      <c r="H127" s="133"/>
      <c r="I127" s="138">
        <v>5117208922</v>
      </c>
      <c r="J127" s="149"/>
      <c r="K127" s="149"/>
    </row>
    <row r="128" spans="1:11" ht="15" x14ac:dyDescent="0.25">
      <c r="A128" s="145" t="s">
        <v>360</v>
      </c>
      <c r="B128" s="137" t="s">
        <v>212</v>
      </c>
      <c r="C128" s="180"/>
      <c r="D128" s="132"/>
      <c r="E128" s="132" t="s">
        <v>210</v>
      </c>
      <c r="F128" s="172"/>
      <c r="G128" s="133"/>
      <c r="H128" s="133"/>
      <c r="I128" s="138">
        <v>5117291922</v>
      </c>
      <c r="J128" s="149"/>
      <c r="K128" s="149"/>
    </row>
    <row r="129" spans="1:11" x14ac:dyDescent="0.25">
      <c r="A129" s="130" t="s">
        <v>361</v>
      </c>
      <c r="B129" s="131" t="s">
        <v>362</v>
      </c>
      <c r="C129" s="180">
        <v>600</v>
      </c>
      <c r="D129" s="132">
        <v>4</v>
      </c>
      <c r="E129" s="132">
        <v>150</v>
      </c>
      <c r="F129" s="172">
        <v>80</v>
      </c>
      <c r="G129" s="133">
        <f t="shared" si="2"/>
        <v>320</v>
      </c>
      <c r="H129" s="133">
        <f t="shared" si="3"/>
        <v>336</v>
      </c>
      <c r="I129" s="132">
        <v>3507190190</v>
      </c>
      <c r="J129" s="148"/>
      <c r="K129" s="148"/>
    </row>
    <row r="130" spans="1:11" ht="15" x14ac:dyDescent="0.25">
      <c r="A130" s="146" t="s">
        <v>363</v>
      </c>
      <c r="B130" s="136" t="s">
        <v>225</v>
      </c>
      <c r="C130" s="180"/>
      <c r="D130" s="132"/>
      <c r="E130" s="132" t="s">
        <v>216</v>
      </c>
      <c r="F130" s="172"/>
      <c r="G130" s="133"/>
      <c r="H130" s="133"/>
      <c r="I130" s="132">
        <v>11355279216</v>
      </c>
      <c r="J130" s="148"/>
      <c r="K130" s="148"/>
    </row>
    <row r="131" spans="1:11" ht="15" x14ac:dyDescent="0.25">
      <c r="A131" s="145" t="s">
        <v>364</v>
      </c>
      <c r="B131" s="137" t="s">
        <v>209</v>
      </c>
      <c r="C131" s="180"/>
      <c r="D131" s="132"/>
      <c r="E131" s="132" t="s">
        <v>210</v>
      </c>
      <c r="F131" s="172"/>
      <c r="G131" s="133"/>
      <c r="H131" s="133"/>
      <c r="I131" s="138">
        <v>5117208922</v>
      </c>
      <c r="J131" s="149"/>
      <c r="K131" s="149"/>
    </row>
    <row r="132" spans="1:11" ht="15" x14ac:dyDescent="0.25">
      <c r="A132" s="145" t="s">
        <v>365</v>
      </c>
      <c r="B132" s="137" t="s">
        <v>212</v>
      </c>
      <c r="C132" s="180"/>
      <c r="D132" s="132"/>
      <c r="E132" s="132" t="s">
        <v>210</v>
      </c>
      <c r="F132" s="172"/>
      <c r="G132" s="133"/>
      <c r="H132" s="133"/>
      <c r="I132" s="138">
        <v>5117291922</v>
      </c>
      <c r="J132" s="148"/>
      <c r="K132" s="148"/>
    </row>
    <row r="133" spans="1:11" x14ac:dyDescent="0.25">
      <c r="A133" s="130" t="s">
        <v>366</v>
      </c>
      <c r="B133" s="131" t="s">
        <v>367</v>
      </c>
      <c r="C133" s="180">
        <v>500</v>
      </c>
      <c r="D133" s="132">
        <v>4</v>
      </c>
      <c r="E133" s="132">
        <v>150</v>
      </c>
      <c r="F133" s="172">
        <v>235.07999999999998</v>
      </c>
      <c r="G133" s="133">
        <f t="shared" si="2"/>
        <v>940.31999999999994</v>
      </c>
      <c r="H133" s="133">
        <f t="shared" si="3"/>
        <v>987.34</v>
      </c>
      <c r="I133" s="132">
        <v>4489403190</v>
      </c>
      <c r="J133" s="134"/>
      <c r="K133" s="134"/>
    </row>
    <row r="134" spans="1:11" ht="15" x14ac:dyDescent="0.25">
      <c r="A134" s="146" t="s">
        <v>368</v>
      </c>
      <c r="B134" s="136" t="s">
        <v>369</v>
      </c>
      <c r="C134" s="180"/>
      <c r="D134" s="132">
        <v>1</v>
      </c>
      <c r="E134" s="132" t="s">
        <v>302</v>
      </c>
      <c r="F134" s="172">
        <v>55.71</v>
      </c>
      <c r="G134" s="133">
        <f t="shared" si="2"/>
        <v>55.71</v>
      </c>
      <c r="H134" s="133">
        <f t="shared" si="3"/>
        <v>58.5</v>
      </c>
      <c r="I134" s="132">
        <v>3555941190</v>
      </c>
      <c r="J134" s="134"/>
      <c r="K134" s="134"/>
    </row>
    <row r="135" spans="1:11" ht="15" x14ac:dyDescent="0.25">
      <c r="A135" s="145" t="s">
        <v>370</v>
      </c>
      <c r="B135" s="137" t="s">
        <v>209</v>
      </c>
      <c r="C135" s="180"/>
      <c r="D135" s="132"/>
      <c r="E135" s="132" t="s">
        <v>210</v>
      </c>
      <c r="F135" s="172"/>
      <c r="G135" s="133"/>
      <c r="H135" s="133"/>
      <c r="I135" s="138">
        <v>5117208922</v>
      </c>
      <c r="J135" s="134"/>
      <c r="K135" s="134"/>
    </row>
    <row r="136" spans="1:11" ht="15" x14ac:dyDescent="0.25">
      <c r="A136" s="145" t="s">
        <v>371</v>
      </c>
      <c r="B136" s="137" t="s">
        <v>212</v>
      </c>
      <c r="C136" s="180"/>
      <c r="D136" s="132"/>
      <c r="E136" s="132" t="s">
        <v>210</v>
      </c>
      <c r="F136" s="172"/>
      <c r="G136" s="133"/>
      <c r="H136" s="133"/>
      <c r="I136" s="138">
        <v>5117291922</v>
      </c>
      <c r="J136" s="144"/>
      <c r="K136" s="144"/>
    </row>
    <row r="137" spans="1:11" x14ac:dyDescent="0.25">
      <c r="A137" s="130" t="s">
        <v>372</v>
      </c>
      <c r="B137" s="131" t="s">
        <v>373</v>
      </c>
      <c r="C137" s="180">
        <v>1100</v>
      </c>
      <c r="D137" s="132">
        <v>4</v>
      </c>
      <c r="E137" s="132">
        <v>300</v>
      </c>
      <c r="F137" s="172">
        <v>22.16</v>
      </c>
      <c r="G137" s="133">
        <f t="shared" si="2"/>
        <v>88.64</v>
      </c>
      <c r="H137" s="133">
        <f t="shared" si="3"/>
        <v>93.07</v>
      </c>
      <c r="I137" s="132">
        <v>3004732122</v>
      </c>
      <c r="J137" s="134"/>
      <c r="K137" s="134"/>
    </row>
    <row r="138" spans="1:11" ht="15" x14ac:dyDescent="0.25">
      <c r="A138" s="146" t="s">
        <v>374</v>
      </c>
      <c r="B138" s="136" t="s">
        <v>206</v>
      </c>
      <c r="C138" s="180"/>
      <c r="D138" s="132"/>
      <c r="E138" s="132" t="s">
        <v>207</v>
      </c>
      <c r="F138" s="172"/>
      <c r="G138" s="133"/>
      <c r="H138" s="133"/>
      <c r="I138" s="132">
        <v>10759350190</v>
      </c>
      <c r="J138" s="134"/>
      <c r="K138" s="134"/>
    </row>
    <row r="139" spans="1:11" ht="15" x14ac:dyDescent="0.25">
      <c r="A139" s="145" t="s">
        <v>375</v>
      </c>
      <c r="B139" s="137" t="s">
        <v>209</v>
      </c>
      <c r="C139" s="180"/>
      <c r="D139" s="132"/>
      <c r="E139" s="132" t="s">
        <v>210</v>
      </c>
      <c r="F139" s="172"/>
      <c r="G139" s="133"/>
      <c r="H139" s="133"/>
      <c r="I139" s="138">
        <v>5117208922</v>
      </c>
      <c r="J139" s="134"/>
      <c r="K139" s="134"/>
    </row>
    <row r="140" spans="1:11" ht="15" x14ac:dyDescent="0.25">
      <c r="A140" s="145" t="s">
        <v>376</v>
      </c>
      <c r="B140" s="137" t="s">
        <v>212</v>
      </c>
      <c r="C140" s="180"/>
      <c r="D140" s="132"/>
      <c r="E140" s="132" t="s">
        <v>210</v>
      </c>
      <c r="F140" s="172"/>
      <c r="G140" s="133"/>
      <c r="H140" s="133"/>
      <c r="I140" s="138">
        <v>5117291922</v>
      </c>
      <c r="J140" s="134"/>
      <c r="K140" s="134"/>
    </row>
    <row r="141" spans="1:11" x14ac:dyDescent="0.25">
      <c r="A141" s="130" t="s">
        <v>377</v>
      </c>
      <c r="B141" s="131" t="s">
        <v>378</v>
      </c>
      <c r="C141" s="180">
        <v>2800</v>
      </c>
      <c r="D141" s="132">
        <v>14</v>
      </c>
      <c r="E141" s="132">
        <v>200</v>
      </c>
      <c r="F141" s="172">
        <v>37.06</v>
      </c>
      <c r="G141" s="133">
        <f t="shared" si="2"/>
        <v>518.84</v>
      </c>
      <c r="H141" s="133">
        <f t="shared" si="3"/>
        <v>544.78</v>
      </c>
      <c r="I141" s="132">
        <v>4524977190</v>
      </c>
      <c r="J141" s="134"/>
      <c r="K141" s="134"/>
    </row>
    <row r="142" spans="1:11" ht="15" x14ac:dyDescent="0.25">
      <c r="A142" s="146" t="s">
        <v>379</v>
      </c>
      <c r="B142" s="136" t="s">
        <v>206</v>
      </c>
      <c r="C142" s="180"/>
      <c r="D142" s="132"/>
      <c r="E142" s="132" t="s">
        <v>207</v>
      </c>
      <c r="F142" s="172"/>
      <c r="G142" s="133"/>
      <c r="H142" s="133"/>
      <c r="I142" s="132">
        <v>10759350190</v>
      </c>
      <c r="J142" s="134"/>
      <c r="K142" s="134"/>
    </row>
    <row r="143" spans="1:11" ht="15" x14ac:dyDescent="0.25">
      <c r="A143" s="145" t="s">
        <v>380</v>
      </c>
      <c r="B143" s="137" t="s">
        <v>209</v>
      </c>
      <c r="C143" s="180"/>
      <c r="D143" s="132"/>
      <c r="E143" s="132" t="s">
        <v>210</v>
      </c>
      <c r="F143" s="172"/>
      <c r="G143" s="133"/>
      <c r="H143" s="133"/>
      <c r="I143" s="138">
        <v>5117208922</v>
      </c>
      <c r="J143" s="134"/>
      <c r="K143" s="134"/>
    </row>
    <row r="144" spans="1:11" ht="15" x14ac:dyDescent="0.25">
      <c r="A144" s="145" t="s">
        <v>381</v>
      </c>
      <c r="B144" s="137" t="s">
        <v>212</v>
      </c>
      <c r="C144" s="180"/>
      <c r="D144" s="132"/>
      <c r="E144" s="132" t="s">
        <v>210</v>
      </c>
      <c r="F144" s="172"/>
      <c r="G144" s="133"/>
      <c r="H144" s="133"/>
      <c r="I144" s="138">
        <v>5117291922</v>
      </c>
      <c r="J144" s="134"/>
      <c r="K144" s="134"/>
    </row>
    <row r="145" spans="1:11" x14ac:dyDescent="0.25">
      <c r="A145" s="130" t="s">
        <v>382</v>
      </c>
      <c r="B145" s="131" t="s">
        <v>383</v>
      </c>
      <c r="C145" s="180">
        <v>2900</v>
      </c>
      <c r="D145" s="132">
        <v>29</v>
      </c>
      <c r="E145" s="132">
        <v>100</v>
      </c>
      <c r="F145" s="172">
        <v>37</v>
      </c>
      <c r="G145" s="133">
        <f t="shared" si="2"/>
        <v>1073</v>
      </c>
      <c r="H145" s="133">
        <f t="shared" si="3"/>
        <v>1126.6500000000001</v>
      </c>
      <c r="I145" s="132">
        <v>4525299190</v>
      </c>
      <c r="J145" s="147"/>
      <c r="K145" s="147"/>
    </row>
    <row r="146" spans="1:11" ht="15" x14ac:dyDescent="0.25">
      <c r="A146" s="146" t="s">
        <v>384</v>
      </c>
      <c r="B146" s="136" t="s">
        <v>385</v>
      </c>
      <c r="C146" s="180"/>
      <c r="D146" s="132">
        <v>2</v>
      </c>
      <c r="E146" s="132" t="s">
        <v>302</v>
      </c>
      <c r="F146" s="172">
        <v>28</v>
      </c>
      <c r="G146" s="133">
        <f t="shared" si="2"/>
        <v>56</v>
      </c>
      <c r="H146" s="133">
        <f t="shared" si="3"/>
        <v>58.8</v>
      </c>
      <c r="I146" s="132">
        <v>11447394216</v>
      </c>
      <c r="J146" s="142"/>
      <c r="K146" s="142"/>
    </row>
    <row r="147" spans="1:11" ht="15" x14ac:dyDescent="0.25">
      <c r="A147" s="145" t="s">
        <v>386</v>
      </c>
      <c r="B147" s="137" t="s">
        <v>209</v>
      </c>
      <c r="C147" s="180"/>
      <c r="D147" s="132"/>
      <c r="E147" s="132" t="s">
        <v>210</v>
      </c>
      <c r="F147" s="172"/>
      <c r="G147" s="133"/>
      <c r="H147" s="133"/>
      <c r="I147" s="138">
        <v>5117208922</v>
      </c>
      <c r="J147" s="142"/>
      <c r="K147" s="142"/>
    </row>
    <row r="148" spans="1:11" ht="15" x14ac:dyDescent="0.25">
      <c r="A148" s="145" t="s">
        <v>387</v>
      </c>
      <c r="B148" s="137" t="s">
        <v>212</v>
      </c>
      <c r="C148" s="180"/>
      <c r="D148" s="132"/>
      <c r="E148" s="132" t="s">
        <v>210</v>
      </c>
      <c r="F148" s="172"/>
      <c r="G148" s="133"/>
      <c r="H148" s="133"/>
      <c r="I148" s="138">
        <v>5117291922</v>
      </c>
      <c r="J148" s="148"/>
      <c r="K148" s="148"/>
    </row>
    <row r="149" spans="1:11" x14ac:dyDescent="0.25">
      <c r="A149" s="150" t="s">
        <v>388</v>
      </c>
      <c r="B149" s="151" t="s">
        <v>389</v>
      </c>
      <c r="C149" s="143"/>
      <c r="D149" s="132">
        <v>3</v>
      </c>
      <c r="E149" s="132" t="s">
        <v>390</v>
      </c>
      <c r="F149" s="172">
        <v>8.1</v>
      </c>
      <c r="G149" s="133">
        <f t="shared" ref="G149:G167" si="4">F149*D149</f>
        <v>24.299999999999997</v>
      </c>
      <c r="H149" s="133">
        <f t="shared" ref="H149:H165" si="5">ROUND(G149*1.05,2)</f>
        <v>25.52</v>
      </c>
      <c r="I149" s="132">
        <v>4489357190</v>
      </c>
      <c r="J149" s="134"/>
      <c r="K149" s="134"/>
    </row>
    <row r="150" spans="1:11" x14ac:dyDescent="0.25">
      <c r="A150" s="150" t="s">
        <v>391</v>
      </c>
      <c r="B150" s="151" t="s">
        <v>392</v>
      </c>
      <c r="C150" s="143"/>
      <c r="D150" s="132">
        <v>1</v>
      </c>
      <c r="E150" s="132" t="s">
        <v>312</v>
      </c>
      <c r="F150" s="172">
        <v>205.92000000000002</v>
      </c>
      <c r="G150" s="133">
        <f t="shared" si="4"/>
        <v>205.92000000000002</v>
      </c>
      <c r="H150" s="133">
        <f t="shared" si="5"/>
        <v>216.22</v>
      </c>
      <c r="I150" s="132">
        <v>3149501001</v>
      </c>
      <c r="J150" s="134"/>
      <c r="K150" s="134"/>
    </row>
    <row r="151" spans="1:11" x14ac:dyDescent="0.25">
      <c r="A151" s="150" t="s">
        <v>393</v>
      </c>
      <c r="B151" s="151" t="s">
        <v>394</v>
      </c>
      <c r="C151" s="143"/>
      <c r="D151" s="132">
        <v>6</v>
      </c>
      <c r="E151" s="132" t="s">
        <v>395</v>
      </c>
      <c r="F151" s="172">
        <v>9.1300000000000008</v>
      </c>
      <c r="G151" s="133">
        <f t="shared" si="4"/>
        <v>54.78</v>
      </c>
      <c r="H151" s="133">
        <f t="shared" si="5"/>
        <v>57.52</v>
      </c>
      <c r="I151" s="132">
        <v>11183974216</v>
      </c>
      <c r="J151" s="134"/>
      <c r="K151" s="134"/>
    </row>
    <row r="152" spans="1:11" x14ac:dyDescent="0.25">
      <c r="A152" s="150" t="s">
        <v>396</v>
      </c>
      <c r="B152" s="151" t="s">
        <v>397</v>
      </c>
      <c r="C152" s="143"/>
      <c r="D152" s="132">
        <v>6</v>
      </c>
      <c r="E152" s="132" t="s">
        <v>395</v>
      </c>
      <c r="F152" s="172">
        <v>9.1300000000000008</v>
      </c>
      <c r="G152" s="133">
        <f t="shared" si="4"/>
        <v>54.78</v>
      </c>
      <c r="H152" s="133">
        <f t="shared" si="5"/>
        <v>57.52</v>
      </c>
      <c r="I152" s="132">
        <v>11183982216</v>
      </c>
      <c r="J152" s="134"/>
      <c r="K152" s="134"/>
    </row>
    <row r="153" spans="1:11" x14ac:dyDescent="0.25">
      <c r="A153" s="150" t="s">
        <v>398</v>
      </c>
      <c r="B153" s="151" t="s">
        <v>399</v>
      </c>
      <c r="C153" s="143"/>
      <c r="D153" s="132">
        <v>1</v>
      </c>
      <c r="E153" s="132" t="s">
        <v>400</v>
      </c>
      <c r="F153" s="172">
        <v>26.1</v>
      </c>
      <c r="G153" s="133">
        <f t="shared" si="4"/>
        <v>26.1</v>
      </c>
      <c r="H153" s="133">
        <f t="shared" si="5"/>
        <v>27.41</v>
      </c>
      <c r="I153" s="132">
        <v>11489828216</v>
      </c>
      <c r="J153" s="134"/>
      <c r="K153" s="134"/>
    </row>
    <row r="154" spans="1:11" x14ac:dyDescent="0.25">
      <c r="A154" s="150" t="s">
        <v>401</v>
      </c>
      <c r="B154" s="151" t="s">
        <v>402</v>
      </c>
      <c r="C154" s="143"/>
      <c r="D154" s="132">
        <v>6</v>
      </c>
      <c r="E154" s="132" t="s">
        <v>403</v>
      </c>
      <c r="F154" s="172">
        <v>49.37</v>
      </c>
      <c r="G154" s="133">
        <f t="shared" si="4"/>
        <v>296.21999999999997</v>
      </c>
      <c r="H154" s="133">
        <f t="shared" si="5"/>
        <v>311.02999999999997</v>
      </c>
      <c r="I154" s="132">
        <v>4522630190</v>
      </c>
      <c r="J154" s="134"/>
      <c r="K154" s="134"/>
    </row>
    <row r="155" spans="1:11" x14ac:dyDescent="0.25">
      <c r="A155" s="150" t="s">
        <v>404</v>
      </c>
      <c r="B155" s="151" t="s">
        <v>405</v>
      </c>
      <c r="C155" s="143"/>
      <c r="D155" s="132">
        <v>22</v>
      </c>
      <c r="E155" s="132" t="s">
        <v>406</v>
      </c>
      <c r="F155" s="172">
        <v>42.32</v>
      </c>
      <c r="G155" s="133">
        <f t="shared" si="4"/>
        <v>931.04</v>
      </c>
      <c r="H155" s="133">
        <f t="shared" si="5"/>
        <v>977.59</v>
      </c>
      <c r="I155" s="132">
        <v>4522320190</v>
      </c>
      <c r="J155" s="134"/>
      <c r="K155" s="134"/>
    </row>
    <row r="156" spans="1:11" x14ac:dyDescent="0.25">
      <c r="A156" s="150" t="s">
        <v>407</v>
      </c>
      <c r="B156" s="151" t="s">
        <v>408</v>
      </c>
      <c r="C156" s="143"/>
      <c r="D156" s="132">
        <v>7</v>
      </c>
      <c r="E156" s="132" t="s">
        <v>403</v>
      </c>
      <c r="F156" s="172">
        <v>28.94</v>
      </c>
      <c r="G156" s="133">
        <f t="shared" si="4"/>
        <v>202.58</v>
      </c>
      <c r="H156" s="133">
        <f t="shared" si="5"/>
        <v>212.71</v>
      </c>
      <c r="I156" s="132">
        <v>11360981216</v>
      </c>
      <c r="J156" s="134"/>
      <c r="K156" s="134"/>
    </row>
    <row r="157" spans="1:11" x14ac:dyDescent="0.25">
      <c r="A157" s="150" t="s">
        <v>409</v>
      </c>
      <c r="B157" s="151" t="s">
        <v>410</v>
      </c>
      <c r="C157" s="143"/>
      <c r="D157" s="132">
        <v>1</v>
      </c>
      <c r="E157" s="132" t="s">
        <v>411</v>
      </c>
      <c r="F157" s="172">
        <v>39.1</v>
      </c>
      <c r="G157" s="133">
        <f t="shared" si="4"/>
        <v>39.1</v>
      </c>
      <c r="H157" s="133">
        <f t="shared" si="5"/>
        <v>41.06</v>
      </c>
      <c r="I157" s="132">
        <v>11298500316</v>
      </c>
      <c r="J157" s="134"/>
      <c r="K157" s="134"/>
    </row>
    <row r="158" spans="1:11" x14ac:dyDescent="0.25">
      <c r="A158" s="150" t="s">
        <v>412</v>
      </c>
      <c r="B158" s="151" t="s">
        <v>413</v>
      </c>
      <c r="C158" s="143"/>
      <c r="D158" s="132">
        <v>7</v>
      </c>
      <c r="E158" s="132" t="s">
        <v>414</v>
      </c>
      <c r="F158" s="172">
        <v>46.92</v>
      </c>
      <c r="G158" s="133">
        <f t="shared" si="4"/>
        <v>328.44</v>
      </c>
      <c r="H158" s="133">
        <f t="shared" si="5"/>
        <v>344.86</v>
      </c>
      <c r="I158" s="132">
        <v>4663632190</v>
      </c>
      <c r="J158" s="134"/>
      <c r="K158" s="134"/>
    </row>
    <row r="159" spans="1:11" x14ac:dyDescent="0.25">
      <c r="A159" s="150" t="s">
        <v>415</v>
      </c>
      <c r="B159" s="151" t="s">
        <v>416</v>
      </c>
      <c r="C159" s="143"/>
      <c r="D159" s="132">
        <v>50</v>
      </c>
      <c r="E159" s="132" t="s">
        <v>417</v>
      </c>
      <c r="F159" s="172">
        <v>4.62</v>
      </c>
      <c r="G159" s="133">
        <f t="shared" si="4"/>
        <v>231</v>
      </c>
      <c r="H159" s="133">
        <f t="shared" si="5"/>
        <v>242.55</v>
      </c>
      <c r="I159" s="132">
        <v>4489241190</v>
      </c>
      <c r="J159" s="134"/>
      <c r="K159" s="134"/>
    </row>
    <row r="160" spans="1:11" x14ac:dyDescent="0.25">
      <c r="A160" s="150" t="s">
        <v>418</v>
      </c>
      <c r="B160" s="151" t="s">
        <v>419</v>
      </c>
      <c r="C160" s="143"/>
      <c r="D160" s="132">
        <v>15</v>
      </c>
      <c r="E160" s="132" t="s">
        <v>390</v>
      </c>
      <c r="F160" s="172">
        <v>4.55</v>
      </c>
      <c r="G160" s="133">
        <f t="shared" si="4"/>
        <v>68.25</v>
      </c>
      <c r="H160" s="133">
        <f t="shared" si="5"/>
        <v>71.66</v>
      </c>
      <c r="I160" s="132">
        <v>4489225190</v>
      </c>
      <c r="J160" s="134"/>
      <c r="K160" s="134"/>
    </row>
    <row r="161" spans="1:11" x14ac:dyDescent="0.25">
      <c r="A161" s="150" t="s">
        <v>420</v>
      </c>
      <c r="B161" s="151" t="s">
        <v>421</v>
      </c>
      <c r="C161" s="143"/>
      <c r="D161" s="132">
        <v>32</v>
      </c>
      <c r="E161" s="132" t="s">
        <v>422</v>
      </c>
      <c r="F161" s="172">
        <v>20.85</v>
      </c>
      <c r="G161" s="133">
        <f t="shared" si="4"/>
        <v>667.2</v>
      </c>
      <c r="H161" s="133">
        <f t="shared" si="5"/>
        <v>700.56</v>
      </c>
      <c r="I161" s="132">
        <v>4880285190</v>
      </c>
      <c r="J161" s="134"/>
      <c r="K161" s="134"/>
    </row>
    <row r="162" spans="1:11" x14ac:dyDescent="0.25">
      <c r="A162" s="150" t="s">
        <v>423</v>
      </c>
      <c r="B162" s="151" t="s">
        <v>424</v>
      </c>
      <c r="C162" s="143"/>
      <c r="D162" s="132">
        <v>1</v>
      </c>
      <c r="E162" s="132" t="s">
        <v>422</v>
      </c>
      <c r="F162" s="172">
        <v>27.67</v>
      </c>
      <c r="G162" s="133">
        <f t="shared" si="4"/>
        <v>27.67</v>
      </c>
      <c r="H162" s="133">
        <f t="shared" si="5"/>
        <v>29.05</v>
      </c>
      <c r="I162" s="132">
        <v>4880307190</v>
      </c>
      <c r="J162" s="134"/>
      <c r="K162" s="134"/>
    </row>
    <row r="163" spans="1:11" x14ac:dyDescent="0.25">
      <c r="A163" s="150" t="s">
        <v>425</v>
      </c>
      <c r="B163" s="151" t="s">
        <v>426</v>
      </c>
      <c r="C163" s="143"/>
      <c r="D163" s="132">
        <v>1</v>
      </c>
      <c r="E163" s="132" t="s">
        <v>427</v>
      </c>
      <c r="F163" s="172">
        <v>59.95</v>
      </c>
      <c r="G163" s="133">
        <f t="shared" si="4"/>
        <v>59.95</v>
      </c>
      <c r="H163" s="133">
        <f t="shared" si="5"/>
        <v>62.95</v>
      </c>
      <c r="I163" s="132">
        <v>4708725190</v>
      </c>
      <c r="J163" s="134"/>
      <c r="K163" s="134"/>
    </row>
    <row r="164" spans="1:11" x14ac:dyDescent="0.25">
      <c r="A164" s="150" t="s">
        <v>428</v>
      </c>
      <c r="B164" s="151" t="s">
        <v>429</v>
      </c>
      <c r="C164" s="143"/>
      <c r="D164" s="132">
        <v>2</v>
      </c>
      <c r="E164" s="132" t="s">
        <v>427</v>
      </c>
      <c r="F164" s="172">
        <v>69.19</v>
      </c>
      <c r="G164" s="133">
        <f t="shared" si="4"/>
        <v>138.38</v>
      </c>
      <c r="H164" s="133">
        <f t="shared" si="5"/>
        <v>145.30000000000001</v>
      </c>
      <c r="I164" s="132">
        <v>11555448216</v>
      </c>
      <c r="J164" s="134"/>
      <c r="K164" s="134"/>
    </row>
    <row r="165" spans="1:11" x14ac:dyDescent="0.25">
      <c r="A165" s="150" t="s">
        <v>430</v>
      </c>
      <c r="B165" s="151" t="s">
        <v>431</v>
      </c>
      <c r="C165" s="143"/>
      <c r="D165" s="132">
        <v>1</v>
      </c>
      <c r="E165" s="132">
        <v>1</v>
      </c>
      <c r="F165" s="172">
        <v>521.32000000000005</v>
      </c>
      <c r="G165" s="133">
        <f t="shared" si="4"/>
        <v>521.32000000000005</v>
      </c>
      <c r="H165" s="133">
        <f t="shared" si="5"/>
        <v>547.39</v>
      </c>
      <c r="I165" s="132">
        <v>4854241001</v>
      </c>
      <c r="J165" s="134"/>
      <c r="K165" s="134"/>
    </row>
    <row r="166" spans="1:11" x14ac:dyDescent="0.25">
      <c r="A166" s="150" t="s">
        <v>432</v>
      </c>
      <c r="B166" s="151" t="s">
        <v>433</v>
      </c>
      <c r="C166" s="143"/>
      <c r="D166" s="132">
        <v>2</v>
      </c>
      <c r="E166" s="132" t="s">
        <v>434</v>
      </c>
      <c r="F166" s="172">
        <v>28.67</v>
      </c>
      <c r="G166" s="133">
        <f t="shared" si="4"/>
        <v>57.34</v>
      </c>
      <c r="H166" s="133">
        <f>ROUND(G166*1.21,2)</f>
        <v>69.38</v>
      </c>
      <c r="I166" s="132">
        <v>5085713001</v>
      </c>
      <c r="J166" s="134"/>
      <c r="K166" s="134"/>
    </row>
    <row r="167" spans="1:11" x14ac:dyDescent="0.25">
      <c r="A167" s="150" t="s">
        <v>435</v>
      </c>
      <c r="B167" s="151" t="s">
        <v>436</v>
      </c>
      <c r="C167" s="143"/>
      <c r="D167" s="132">
        <v>4</v>
      </c>
      <c r="E167" s="132" t="s">
        <v>437</v>
      </c>
      <c r="F167" s="172">
        <v>45.61</v>
      </c>
      <c r="G167" s="133">
        <f t="shared" si="4"/>
        <v>182.44</v>
      </c>
      <c r="H167" s="133">
        <f>ROUND(G167*1.21,2)</f>
        <v>220.75</v>
      </c>
      <c r="I167" s="132">
        <v>10394246001</v>
      </c>
      <c r="J167" s="134"/>
      <c r="K167" s="134"/>
    </row>
    <row r="168" spans="1:11" ht="15" customHeight="1" x14ac:dyDescent="0.25">
      <c r="A168" s="181" t="s">
        <v>438</v>
      </c>
      <c r="B168" s="181"/>
      <c r="C168" s="181"/>
      <c r="D168" s="181"/>
      <c r="E168" s="181"/>
      <c r="F168" s="181"/>
      <c r="G168" s="152">
        <f>SUM(G18:G167)</f>
        <v>31337.249999999989</v>
      </c>
      <c r="H168" s="152">
        <f>SUM(H18:H167)</f>
        <v>32942.5</v>
      </c>
      <c r="I168" s="153"/>
    </row>
    <row r="169" spans="1:11" ht="15" customHeight="1" x14ac:dyDescent="0.25">
      <c r="A169" s="154"/>
      <c r="B169" s="154"/>
      <c r="C169" s="154"/>
      <c r="D169" s="154"/>
      <c r="E169" s="154"/>
      <c r="F169" s="154"/>
      <c r="G169" s="155"/>
      <c r="H169" s="155"/>
      <c r="I169" s="156"/>
    </row>
    <row r="170" spans="1:11" ht="15" customHeight="1" x14ac:dyDescent="0.25">
      <c r="A170" s="157"/>
      <c r="B170" s="158"/>
      <c r="C170" s="159"/>
      <c r="D170" s="160"/>
      <c r="E170" s="160"/>
      <c r="F170" s="160"/>
      <c r="G170" s="160"/>
      <c r="H170" s="160"/>
      <c r="I170" s="160"/>
    </row>
    <row r="171" spans="1:11" ht="15.6" customHeight="1" x14ac:dyDescent="0.25">
      <c r="B171" s="121" t="s">
        <v>439</v>
      </c>
      <c r="C171" s="121"/>
      <c r="D171" s="121"/>
      <c r="E171" s="121"/>
      <c r="F171" s="121"/>
      <c r="G171" s="121"/>
      <c r="H171" s="121"/>
      <c r="I171" s="121"/>
    </row>
    <row r="172" spans="1:11" ht="15.6" customHeight="1" x14ac:dyDescent="0.25">
      <c r="C172" s="119"/>
      <c r="D172" s="122"/>
      <c r="E172" s="123" t="s">
        <v>191</v>
      </c>
      <c r="F172" s="119"/>
      <c r="G172" s="119"/>
      <c r="H172" s="119"/>
      <c r="I172" s="119"/>
    </row>
    <row r="173" spans="1:11" x14ac:dyDescent="0.25">
      <c r="A173" s="182"/>
      <c r="B173" s="182"/>
      <c r="C173" s="182"/>
      <c r="D173" s="182"/>
      <c r="E173" s="182"/>
      <c r="F173" s="182"/>
      <c r="G173" s="182"/>
      <c r="H173" s="182"/>
      <c r="I173" s="182"/>
    </row>
    <row r="174" spans="1:11" ht="15" x14ac:dyDescent="0.25">
      <c r="A174" s="183"/>
      <c r="B174" s="183"/>
      <c r="C174" s="183"/>
      <c r="D174" s="183"/>
      <c r="E174" s="183"/>
      <c r="F174" s="183"/>
      <c r="G174" s="183"/>
      <c r="H174" s="183"/>
      <c r="I174" s="183"/>
    </row>
    <row r="175" spans="1:11" ht="76.5" x14ac:dyDescent="0.25">
      <c r="A175" s="124" t="s">
        <v>194</v>
      </c>
      <c r="B175" s="124" t="s">
        <v>195</v>
      </c>
      <c r="C175" s="124" t="s">
        <v>196</v>
      </c>
      <c r="D175" s="125" t="s">
        <v>197</v>
      </c>
      <c r="E175" s="125" t="s">
        <v>198</v>
      </c>
      <c r="F175" s="125" t="s">
        <v>199</v>
      </c>
      <c r="G175" s="125" t="s">
        <v>200</v>
      </c>
      <c r="H175" s="125" t="s">
        <v>201</v>
      </c>
      <c r="I175" s="125" t="s">
        <v>202</v>
      </c>
    </row>
    <row r="176" spans="1:11" ht="15" x14ac:dyDescent="0.25">
      <c r="A176" s="127">
        <v>1</v>
      </c>
      <c r="B176" s="127">
        <v>2</v>
      </c>
      <c r="C176" s="128">
        <v>3</v>
      </c>
      <c r="D176" s="129">
        <v>4</v>
      </c>
      <c r="E176" s="129">
        <v>5</v>
      </c>
      <c r="F176" s="129">
        <v>6</v>
      </c>
      <c r="G176" s="129">
        <v>7</v>
      </c>
      <c r="H176" s="129">
        <v>8</v>
      </c>
      <c r="I176" s="129">
        <v>9</v>
      </c>
    </row>
    <row r="177" spans="1:11" ht="31.5" x14ac:dyDescent="0.25">
      <c r="A177" s="130" t="s">
        <v>52</v>
      </c>
      <c r="B177" s="131" t="s">
        <v>440</v>
      </c>
      <c r="C177" s="180">
        <v>1300</v>
      </c>
      <c r="D177" s="161"/>
      <c r="E177" s="161"/>
      <c r="F177" s="161"/>
      <c r="G177" s="161"/>
      <c r="H177" s="162"/>
      <c r="I177" s="162"/>
    </row>
    <row r="178" spans="1:11" ht="15" x14ac:dyDescent="0.25">
      <c r="A178" s="163" t="s">
        <v>441</v>
      </c>
      <c r="B178" s="136" t="s">
        <v>442</v>
      </c>
      <c r="C178" s="180"/>
      <c r="D178" s="132">
        <v>130</v>
      </c>
      <c r="E178" s="164">
        <v>10</v>
      </c>
      <c r="F178" s="174">
        <v>58</v>
      </c>
      <c r="G178" s="165">
        <f>F178*D178</f>
        <v>7540</v>
      </c>
      <c r="H178" s="165">
        <f>ROUND(G178*1.05,2)</f>
        <v>7917</v>
      </c>
      <c r="I178" s="39">
        <v>7007302190</v>
      </c>
      <c r="J178" s="13"/>
      <c r="K178" s="13"/>
    </row>
    <row r="179" spans="1:11" ht="15" x14ac:dyDescent="0.25">
      <c r="A179" s="166" t="s">
        <v>443</v>
      </c>
      <c r="B179" s="136" t="s">
        <v>444</v>
      </c>
      <c r="C179" s="180"/>
      <c r="D179" s="132">
        <v>53</v>
      </c>
      <c r="E179" s="164" t="s">
        <v>445</v>
      </c>
      <c r="F179" s="174">
        <v>38</v>
      </c>
      <c r="G179" s="165">
        <f>F179*D179</f>
        <v>2014</v>
      </c>
      <c r="H179" s="165">
        <f>ROUND(G179*1.05,2)</f>
        <v>2114.6999999999998</v>
      </c>
      <c r="I179" s="39">
        <v>7089643190</v>
      </c>
      <c r="J179" s="13"/>
      <c r="K179" s="13"/>
    </row>
    <row r="180" spans="1:11" x14ac:dyDescent="0.25">
      <c r="A180" s="181" t="s">
        <v>446</v>
      </c>
      <c r="B180" s="184"/>
      <c r="C180" s="184"/>
      <c r="D180" s="184"/>
      <c r="E180" s="184"/>
      <c r="F180" s="185"/>
      <c r="G180" s="152">
        <f>SUM(G178:G179)</f>
        <v>9554</v>
      </c>
      <c r="H180" s="152">
        <f>SUM(H178:H179)</f>
        <v>10031.700000000001</v>
      </c>
      <c r="I180" s="153"/>
    </row>
    <row r="181" spans="1:11" ht="15" x14ac:dyDescent="0.25">
      <c r="A181" s="167"/>
      <c r="B181" s="167"/>
      <c r="C181" s="168"/>
      <c r="D181" s="169"/>
      <c r="E181" s="169"/>
      <c r="F181" s="169"/>
      <c r="G181" s="169"/>
      <c r="H181" s="169"/>
      <c r="I181" s="169"/>
    </row>
    <row r="182" spans="1:11" ht="14.45" customHeight="1" x14ac:dyDescent="0.25">
      <c r="A182" s="170" t="s">
        <v>447</v>
      </c>
      <c r="B182" s="170"/>
      <c r="C182" s="170"/>
      <c r="D182" s="170"/>
      <c r="E182" s="170"/>
      <c r="F182" s="170"/>
      <c r="G182" s="170"/>
      <c r="H182" s="170"/>
      <c r="I182" s="170"/>
    </row>
    <row r="183" spans="1:11" ht="26.45" customHeight="1" x14ac:dyDescent="0.25">
      <c r="A183"/>
      <c r="B183" s="186" t="s">
        <v>448</v>
      </c>
      <c r="C183" s="186"/>
      <c r="D183" s="186"/>
      <c r="E183" s="186"/>
      <c r="F183" s="186"/>
      <c r="G183" s="186"/>
      <c r="H183" s="186"/>
      <c r="I183" s="186"/>
    </row>
    <row r="184" spans="1:11" ht="15" x14ac:dyDescent="0.25">
      <c r="A184"/>
      <c r="B184" s="170" t="s">
        <v>449</v>
      </c>
      <c r="C184" s="170"/>
      <c r="D184" s="170"/>
      <c r="E184" s="170"/>
      <c r="F184" s="170"/>
      <c r="G184" s="170"/>
      <c r="H184" s="170"/>
      <c r="I184" s="170"/>
    </row>
    <row r="185" spans="1:11" ht="15.6" customHeight="1" x14ac:dyDescent="0.25">
      <c r="A185"/>
      <c r="B185" s="170" t="s">
        <v>450</v>
      </c>
      <c r="C185" s="170"/>
      <c r="D185" s="170"/>
      <c r="E185" s="170"/>
      <c r="F185" s="170"/>
      <c r="G185" s="170"/>
      <c r="H185" s="170"/>
      <c r="I185" s="170"/>
    </row>
    <row r="186" spans="1:11" ht="15" x14ac:dyDescent="0.25">
      <c r="A186"/>
      <c r="B186" s="187" t="s">
        <v>451</v>
      </c>
      <c r="C186" s="187"/>
      <c r="D186" s="187"/>
      <c r="E186" s="187"/>
      <c r="F186" s="187"/>
      <c r="G186" s="187"/>
      <c r="H186" s="187"/>
      <c r="I186" s="187"/>
    </row>
    <row r="187" spans="1:11" ht="15" customHeight="1" x14ac:dyDescent="0.25">
      <c r="A187" s="157"/>
      <c r="B187" s="158"/>
      <c r="C187" s="159"/>
      <c r="D187" s="160"/>
      <c r="E187" s="160"/>
      <c r="F187" s="160"/>
      <c r="G187" s="160"/>
      <c r="H187" s="160"/>
      <c r="I187" s="160"/>
    </row>
    <row r="188" spans="1:11" ht="42.6" customHeight="1" x14ac:dyDescent="0.25">
      <c r="A188" s="179" t="s">
        <v>452</v>
      </c>
      <c r="B188" s="179"/>
      <c r="C188" s="179"/>
      <c r="D188" s="179"/>
      <c r="E188" s="179"/>
      <c r="F188" s="179"/>
      <c r="G188" s="179"/>
      <c r="H188" s="179"/>
      <c r="I188" s="179"/>
    </row>
  </sheetData>
  <mergeCells count="48">
    <mergeCell ref="C30:C33"/>
    <mergeCell ref="A1:I1"/>
    <mergeCell ref="A2:I2"/>
    <mergeCell ref="A4:I4"/>
    <mergeCell ref="A7:I7"/>
    <mergeCell ref="A11:I11"/>
    <mergeCell ref="A12:I12"/>
    <mergeCell ref="A14:I14"/>
    <mergeCell ref="A17:I17"/>
    <mergeCell ref="C18:C21"/>
    <mergeCell ref="C22:C25"/>
    <mergeCell ref="C26:C29"/>
    <mergeCell ref="C78:C81"/>
    <mergeCell ref="C34:C37"/>
    <mergeCell ref="C38:C41"/>
    <mergeCell ref="C42:C45"/>
    <mergeCell ref="C46:C49"/>
    <mergeCell ref="C50:C53"/>
    <mergeCell ref="C54:C57"/>
    <mergeCell ref="C58:C61"/>
    <mergeCell ref="C62:C65"/>
    <mergeCell ref="C66:C69"/>
    <mergeCell ref="C70:C73"/>
    <mergeCell ref="C74:C77"/>
    <mergeCell ref="C129:C132"/>
    <mergeCell ref="C82:C85"/>
    <mergeCell ref="C86:C89"/>
    <mergeCell ref="C90:C93"/>
    <mergeCell ref="C94:C97"/>
    <mergeCell ref="C101:C104"/>
    <mergeCell ref="C105:C108"/>
    <mergeCell ref="C109:C112"/>
    <mergeCell ref="C113:C116"/>
    <mergeCell ref="C117:C121"/>
    <mergeCell ref="C122:C124"/>
    <mergeCell ref="C125:C128"/>
    <mergeCell ref="A188:I188"/>
    <mergeCell ref="C133:C136"/>
    <mergeCell ref="C137:C140"/>
    <mergeCell ref="C141:C144"/>
    <mergeCell ref="C145:C148"/>
    <mergeCell ref="A168:F168"/>
    <mergeCell ref="A173:I173"/>
    <mergeCell ref="A174:I174"/>
    <mergeCell ref="C177:C179"/>
    <mergeCell ref="A180:F180"/>
    <mergeCell ref="B183:I183"/>
    <mergeCell ref="B186:I186"/>
  </mergeCells>
  <printOptions horizontalCentered="1"/>
  <pageMargins left="0" right="0" top="0.55118110236220474" bottom="0.55118110236220474" header="0.31496062992125984" footer="0.31496062992125984"/>
  <pageSetup paperSize="9" orientation="landscape" r:id="rId1"/>
  <rowBreaks count="1" manualBreakCount="1">
    <brk id="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43"/>
  <sheetViews>
    <sheetView workbookViewId="0">
      <pane xSplit="2" ySplit="4" topLeftCell="D119" activePane="bottomRight" state="frozen"/>
      <selection pane="topRight" activeCell="C1" sqref="C1"/>
      <selection pane="bottomLeft" activeCell="A5" sqref="A5"/>
      <selection pane="bottomRight" activeCell="T137" sqref="T137"/>
    </sheetView>
  </sheetViews>
  <sheetFormatPr defaultRowHeight="15" x14ac:dyDescent="0.25"/>
  <cols>
    <col min="2" max="2" width="14.85546875" customWidth="1"/>
    <col min="3" max="3" width="43.28515625" bestFit="1" customWidth="1"/>
    <col min="4" max="4" width="20" bestFit="1" customWidth="1"/>
    <col min="6" max="6" width="12" style="63" bestFit="1" customWidth="1"/>
    <col min="7" max="7" width="8" style="59" bestFit="1" customWidth="1"/>
    <col min="8" max="8" width="9" style="59" bestFit="1" customWidth="1"/>
    <col min="9" max="9" width="5.28515625" bestFit="1" customWidth="1"/>
    <col min="10" max="10" width="12" customWidth="1"/>
    <col min="11" max="11" width="11.28515625" bestFit="1" customWidth="1"/>
    <col min="12" max="13" width="12" style="59" customWidth="1"/>
    <col min="14" max="15" width="12" customWidth="1"/>
    <col min="16" max="17" width="12.42578125" style="59" customWidth="1"/>
    <col min="18" max="20" width="12.42578125" bestFit="1" customWidth="1"/>
  </cols>
  <sheetData>
    <row r="1" spans="1:20" x14ac:dyDescent="0.25">
      <c r="F1" s="76" t="s">
        <v>162</v>
      </c>
      <c r="G1" s="77"/>
      <c r="H1" s="77"/>
      <c r="I1" s="78"/>
      <c r="J1" s="78"/>
      <c r="K1" s="78"/>
      <c r="L1" s="82" t="s">
        <v>161</v>
      </c>
      <c r="M1" s="83"/>
      <c r="N1" t="s">
        <v>165</v>
      </c>
    </row>
    <row r="2" spans="1:20" x14ac:dyDescent="0.25">
      <c r="B2" s="7" t="s">
        <v>49</v>
      </c>
      <c r="C2" s="7"/>
      <c r="J2" t="s">
        <v>179</v>
      </c>
      <c r="K2" s="104">
        <v>0.21</v>
      </c>
      <c r="L2" s="83"/>
      <c r="M2" s="83"/>
      <c r="N2" s="84">
        <v>5.9000000000000003E-4</v>
      </c>
      <c r="P2" s="59" t="s">
        <v>169</v>
      </c>
      <c r="Q2" s="59" t="s">
        <v>180</v>
      </c>
      <c r="R2" t="s">
        <v>181</v>
      </c>
      <c r="S2" t="s">
        <v>182</v>
      </c>
      <c r="T2" t="s">
        <v>183</v>
      </c>
    </row>
    <row r="3" spans="1:20" ht="45" x14ac:dyDescent="0.25">
      <c r="A3" s="17" t="s">
        <v>52</v>
      </c>
      <c r="B3" s="1" t="s">
        <v>46</v>
      </c>
      <c r="C3" s="1" t="s">
        <v>47</v>
      </c>
      <c r="D3" s="1" t="s">
        <v>48</v>
      </c>
      <c r="E3" s="1" t="s">
        <v>72</v>
      </c>
      <c r="F3" s="63" t="s">
        <v>156</v>
      </c>
      <c r="G3" s="59" t="s">
        <v>155</v>
      </c>
      <c r="H3" s="59" t="s">
        <v>157</v>
      </c>
      <c r="I3" t="s">
        <v>158</v>
      </c>
      <c r="J3" t="s">
        <v>160</v>
      </c>
      <c r="K3" t="s">
        <v>159</v>
      </c>
      <c r="L3" s="82" t="s">
        <v>155</v>
      </c>
      <c r="M3" s="82" t="s">
        <v>159</v>
      </c>
      <c r="N3" s="61" t="s">
        <v>164</v>
      </c>
      <c r="O3" s="86" t="s">
        <v>166</v>
      </c>
      <c r="P3" s="97" t="s">
        <v>167</v>
      </c>
      <c r="Q3" s="97" t="s">
        <v>167</v>
      </c>
      <c r="R3" s="97" t="s">
        <v>167</v>
      </c>
      <c r="S3" s="97" t="s">
        <v>167</v>
      </c>
      <c r="T3" s="97" t="s">
        <v>167</v>
      </c>
    </row>
    <row r="4" spans="1:20" s="70" customFormat="1" x14ac:dyDescent="0.25">
      <c r="A4" s="17">
        <v>36</v>
      </c>
      <c r="B4" s="1"/>
      <c r="C4" s="1" t="s">
        <v>161</v>
      </c>
      <c r="D4" s="1"/>
      <c r="E4" s="1"/>
      <c r="F4" s="68"/>
      <c r="G4" s="72">
        <f>SUM(G6:G36)</f>
        <v>81715.269999999975</v>
      </c>
      <c r="H4" s="72">
        <f>SUM(H6:H36)</f>
        <v>109335.07999999999</v>
      </c>
      <c r="J4" s="72">
        <f>SUM(J6:J36)</f>
        <v>42700.49</v>
      </c>
      <c r="K4" s="74">
        <f>SUM(K5:K36)</f>
        <v>54741.372759999998</v>
      </c>
      <c r="L4" s="73">
        <f>SUM(L6:L36)</f>
        <v>43270.92</v>
      </c>
      <c r="M4" s="73">
        <f>SUM(M5:M36)</f>
        <v>55748.582759999998</v>
      </c>
      <c r="N4" s="79">
        <f>-PV($N$2,A4,M4/A4)</f>
        <v>55144.608434510948</v>
      </c>
      <c r="O4" s="79">
        <f>ROUND(N4/A4,0)</f>
        <v>1532</v>
      </c>
      <c r="P4" s="69"/>
      <c r="Q4" s="69"/>
      <c r="R4" s="85"/>
    </row>
    <row r="5" spans="1:20" ht="28.5" x14ac:dyDescent="0.25">
      <c r="A5" s="75"/>
      <c r="B5" s="54"/>
      <c r="C5" s="55" t="s">
        <v>0</v>
      </c>
      <c r="D5" s="55" t="s">
        <v>1</v>
      </c>
      <c r="E5" s="56">
        <v>1</v>
      </c>
      <c r="K5" s="66">
        <f>SUM(G5:G20)*(1+K2)*20%</f>
        <v>11040.712759999999</v>
      </c>
      <c r="M5" s="59">
        <f>K5*E5</f>
        <v>11040.712759999999</v>
      </c>
      <c r="N5" s="58"/>
      <c r="O5" s="58"/>
    </row>
    <row r="6" spans="1:20" x14ac:dyDescent="0.25">
      <c r="A6" s="75"/>
      <c r="B6" s="2" t="s">
        <v>2</v>
      </c>
      <c r="C6" s="2" t="s">
        <v>3</v>
      </c>
      <c r="D6" s="2" t="s">
        <v>4</v>
      </c>
      <c r="E6" s="19">
        <v>1</v>
      </c>
      <c r="F6" s="63" t="s">
        <v>143</v>
      </c>
      <c r="G6" s="59">
        <v>564.76</v>
      </c>
      <c r="H6" s="59">
        <v>868.86</v>
      </c>
      <c r="I6" s="60">
        <f>(H6-G6)/H6</f>
        <v>0.34999884906659301</v>
      </c>
      <c r="J6" s="59">
        <v>0</v>
      </c>
      <c r="K6" s="59"/>
      <c r="L6" s="81">
        <f>E6*J6</f>
        <v>0</v>
      </c>
      <c r="M6" s="59">
        <f>K6*E6</f>
        <v>0</v>
      </c>
      <c r="N6" s="58"/>
      <c r="O6" s="58"/>
      <c r="P6" s="59">
        <f>L6</f>
        <v>0</v>
      </c>
      <c r="Q6" s="59">
        <v>0</v>
      </c>
      <c r="R6" s="59">
        <v>0</v>
      </c>
      <c r="S6" s="59">
        <v>0</v>
      </c>
      <c r="T6" s="59">
        <v>0</v>
      </c>
    </row>
    <row r="7" spans="1:20" x14ac:dyDescent="0.25">
      <c r="A7" s="75"/>
      <c r="B7" s="2" t="s">
        <v>5</v>
      </c>
      <c r="C7" s="2" t="s">
        <v>6</v>
      </c>
      <c r="D7" s="2" t="s">
        <v>7</v>
      </c>
      <c r="E7" s="19">
        <v>1</v>
      </c>
      <c r="F7" s="63" t="s">
        <v>144</v>
      </c>
      <c r="G7" s="59">
        <v>122.01</v>
      </c>
      <c r="H7" s="59">
        <v>289.62</v>
      </c>
      <c r="I7" s="60">
        <f t="shared" ref="I7:I20" si="0">(H7-G7)/H7</f>
        <v>0.57872384503832608</v>
      </c>
      <c r="J7" s="59">
        <v>0</v>
      </c>
      <c r="K7" s="59"/>
      <c r="L7" s="81">
        <f t="shared" ref="L7:L20" si="1">E7*J7</f>
        <v>0</v>
      </c>
      <c r="M7" s="59">
        <f t="shared" ref="M7:M20" si="2">K7*E7</f>
        <v>0</v>
      </c>
      <c r="N7" s="58"/>
      <c r="O7" s="58"/>
      <c r="P7" s="59">
        <f t="shared" ref="P7:P8" si="3">L7</f>
        <v>0</v>
      </c>
      <c r="Q7" s="59">
        <v>0</v>
      </c>
      <c r="R7" s="59">
        <v>0</v>
      </c>
      <c r="S7" s="59">
        <v>0</v>
      </c>
      <c r="T7" s="59">
        <v>0</v>
      </c>
    </row>
    <row r="8" spans="1:20" x14ac:dyDescent="0.25">
      <c r="A8" s="75"/>
      <c r="B8" s="2" t="s">
        <v>8</v>
      </c>
      <c r="C8" s="2" t="s">
        <v>9</v>
      </c>
      <c r="D8" s="2" t="s">
        <v>10</v>
      </c>
      <c r="E8" s="19">
        <v>1</v>
      </c>
      <c r="F8" s="63" t="s">
        <v>145</v>
      </c>
      <c r="G8" s="59">
        <v>327.9</v>
      </c>
      <c r="H8" s="59">
        <v>434.43</v>
      </c>
      <c r="I8" s="60">
        <f t="shared" si="0"/>
        <v>0.24521787169394385</v>
      </c>
      <c r="J8" s="59">
        <v>0</v>
      </c>
      <c r="K8" s="59"/>
      <c r="L8" s="81">
        <f t="shared" si="1"/>
        <v>0</v>
      </c>
      <c r="M8" s="59">
        <f t="shared" si="2"/>
        <v>0</v>
      </c>
      <c r="N8" s="58"/>
      <c r="O8" s="58"/>
      <c r="P8" s="59">
        <f t="shared" si="3"/>
        <v>0</v>
      </c>
      <c r="Q8" s="59">
        <v>0</v>
      </c>
      <c r="R8" s="59">
        <v>0</v>
      </c>
      <c r="S8" s="59">
        <v>0</v>
      </c>
      <c r="T8" s="59">
        <v>0</v>
      </c>
    </row>
    <row r="9" spans="1:20" x14ac:dyDescent="0.25">
      <c r="A9" s="75"/>
      <c r="B9" s="88" t="s">
        <v>11</v>
      </c>
      <c r="C9" s="88" t="s">
        <v>12</v>
      </c>
      <c r="D9" s="88">
        <v>11927</v>
      </c>
      <c r="E9" s="89">
        <v>1</v>
      </c>
      <c r="F9" s="62" t="s">
        <v>139</v>
      </c>
      <c r="G9" s="59">
        <v>26125</v>
      </c>
      <c r="H9" s="59">
        <v>34485</v>
      </c>
      <c r="I9" s="60">
        <f t="shared" si="0"/>
        <v>0.24242424242424243</v>
      </c>
      <c r="J9" s="59">
        <v>6608</v>
      </c>
      <c r="K9" s="59"/>
      <c r="L9" s="81">
        <f t="shared" si="1"/>
        <v>6608</v>
      </c>
      <c r="M9" s="59">
        <f t="shared" si="2"/>
        <v>0</v>
      </c>
      <c r="N9" s="58"/>
      <c r="O9" s="58"/>
      <c r="P9" s="81">
        <f>L9</f>
        <v>6608</v>
      </c>
      <c r="Q9" s="59">
        <v>0</v>
      </c>
      <c r="R9" s="59">
        <v>0</v>
      </c>
      <c r="S9" s="59">
        <v>0</v>
      </c>
      <c r="T9" s="59">
        <v>0</v>
      </c>
    </row>
    <row r="10" spans="1:20" x14ac:dyDescent="0.25">
      <c r="A10" s="75"/>
      <c r="B10" s="2" t="s">
        <v>13</v>
      </c>
      <c r="C10" s="2" t="s">
        <v>14</v>
      </c>
      <c r="D10" s="2" t="s">
        <v>15</v>
      </c>
      <c r="E10" s="19">
        <v>1</v>
      </c>
      <c r="F10" s="62" t="s">
        <v>146</v>
      </c>
      <c r="G10" s="59">
        <v>2062.5</v>
      </c>
      <c r="H10" s="59">
        <v>2949.38</v>
      </c>
      <c r="I10" s="60">
        <f t="shared" si="0"/>
        <v>0.30070048620388018</v>
      </c>
      <c r="J10" s="59">
        <v>0</v>
      </c>
      <c r="K10" s="59"/>
      <c r="L10" s="81">
        <f t="shared" si="1"/>
        <v>0</v>
      </c>
      <c r="M10" s="59">
        <f t="shared" si="2"/>
        <v>0</v>
      </c>
      <c r="N10" s="58"/>
      <c r="O10" s="58"/>
      <c r="P10" s="59">
        <f t="shared" ref="P10:P20" si="4">L10</f>
        <v>0</v>
      </c>
      <c r="Q10" s="59">
        <v>0</v>
      </c>
      <c r="R10" s="59">
        <v>0</v>
      </c>
      <c r="S10" s="59">
        <v>0</v>
      </c>
      <c r="T10" s="59">
        <v>0</v>
      </c>
    </row>
    <row r="11" spans="1:20" x14ac:dyDescent="0.25">
      <c r="A11" s="75"/>
      <c r="B11" s="2" t="s">
        <v>16</v>
      </c>
      <c r="C11" s="2" t="s">
        <v>17</v>
      </c>
      <c r="D11" s="2" t="s">
        <v>18</v>
      </c>
      <c r="E11" s="19">
        <v>1</v>
      </c>
      <c r="F11" s="62" t="s">
        <v>131</v>
      </c>
      <c r="G11" s="59">
        <v>206.25</v>
      </c>
      <c r="H11" s="59">
        <v>295.89999999999998</v>
      </c>
      <c r="I11" s="60">
        <f t="shared" si="0"/>
        <v>0.30297397769516721</v>
      </c>
      <c r="J11" s="59">
        <v>0</v>
      </c>
      <c r="K11" s="59"/>
      <c r="L11" s="81">
        <f t="shared" si="1"/>
        <v>0</v>
      </c>
      <c r="M11" s="59">
        <f t="shared" si="2"/>
        <v>0</v>
      </c>
      <c r="N11" s="58"/>
      <c r="O11" s="58"/>
      <c r="P11" s="59">
        <f t="shared" si="4"/>
        <v>0</v>
      </c>
      <c r="Q11" s="59">
        <v>0</v>
      </c>
      <c r="R11" s="59">
        <v>0</v>
      </c>
      <c r="S11" s="59">
        <v>0</v>
      </c>
      <c r="T11" s="59">
        <v>0</v>
      </c>
    </row>
    <row r="12" spans="1:20" x14ac:dyDescent="0.25">
      <c r="A12" s="75"/>
      <c r="B12" s="2" t="s">
        <v>19</v>
      </c>
      <c r="C12" s="2" t="s">
        <v>20</v>
      </c>
      <c r="D12" s="2" t="s">
        <v>21</v>
      </c>
      <c r="E12" s="19">
        <v>1</v>
      </c>
      <c r="F12" s="62" t="s">
        <v>132</v>
      </c>
      <c r="G12" s="59">
        <v>940</v>
      </c>
      <c r="H12" s="59">
        <v>1343.1</v>
      </c>
      <c r="I12" s="60">
        <f t="shared" si="0"/>
        <v>0.30012657285384553</v>
      </c>
      <c r="J12" s="59">
        <v>0</v>
      </c>
      <c r="K12" s="59"/>
      <c r="L12" s="81">
        <f t="shared" si="1"/>
        <v>0</v>
      </c>
      <c r="M12" s="59">
        <f t="shared" si="2"/>
        <v>0</v>
      </c>
      <c r="N12" s="58"/>
      <c r="O12" s="58"/>
      <c r="P12" s="59">
        <f t="shared" si="4"/>
        <v>0</v>
      </c>
      <c r="Q12" s="59">
        <v>0</v>
      </c>
      <c r="R12" s="59">
        <v>0</v>
      </c>
      <c r="S12" s="59">
        <v>0</v>
      </c>
      <c r="T12" s="59">
        <v>0</v>
      </c>
    </row>
    <row r="13" spans="1:20" x14ac:dyDescent="0.25">
      <c r="A13" s="75"/>
      <c r="B13" s="2" t="s">
        <v>22</v>
      </c>
      <c r="C13" s="2" t="s">
        <v>23</v>
      </c>
      <c r="D13" s="2">
        <v>11404</v>
      </c>
      <c r="E13" s="19">
        <v>1</v>
      </c>
      <c r="F13" s="62" t="s">
        <v>147</v>
      </c>
      <c r="G13" s="59">
        <v>2062.5</v>
      </c>
      <c r="H13" s="59">
        <v>2949.38</v>
      </c>
      <c r="I13" s="60">
        <f t="shared" si="0"/>
        <v>0.30070048620388018</v>
      </c>
      <c r="J13" s="59">
        <v>0</v>
      </c>
      <c r="K13" s="59"/>
      <c r="L13" s="81">
        <f t="shared" si="1"/>
        <v>0</v>
      </c>
      <c r="M13" s="59">
        <f t="shared" si="2"/>
        <v>0</v>
      </c>
      <c r="N13" s="58"/>
      <c r="O13" s="58"/>
      <c r="P13" s="59">
        <f t="shared" si="4"/>
        <v>0</v>
      </c>
      <c r="Q13" s="59">
        <v>0</v>
      </c>
      <c r="R13" s="59">
        <v>0</v>
      </c>
      <c r="S13" s="59">
        <v>0</v>
      </c>
      <c r="T13" s="59">
        <v>0</v>
      </c>
    </row>
    <row r="14" spans="1:20" x14ac:dyDescent="0.25">
      <c r="A14" s="75"/>
      <c r="B14" s="2" t="s">
        <v>24</v>
      </c>
      <c r="C14" s="2" t="s">
        <v>25</v>
      </c>
      <c r="D14" s="2"/>
      <c r="E14" s="19">
        <v>1</v>
      </c>
      <c r="F14" s="62" t="s">
        <v>148</v>
      </c>
      <c r="G14" s="59">
        <v>21.48</v>
      </c>
      <c r="H14" s="59">
        <v>18.2</v>
      </c>
      <c r="I14" s="60">
        <f t="shared" si="0"/>
        <v>-0.1802197802197803</v>
      </c>
      <c r="J14" s="59">
        <v>0</v>
      </c>
      <c r="K14" s="59"/>
      <c r="L14" s="81">
        <f t="shared" si="1"/>
        <v>0</v>
      </c>
      <c r="M14" s="59">
        <f t="shared" si="2"/>
        <v>0</v>
      </c>
      <c r="N14" s="58"/>
      <c r="O14" s="58"/>
      <c r="P14" s="59">
        <f t="shared" si="4"/>
        <v>0</v>
      </c>
      <c r="Q14" s="59">
        <v>0</v>
      </c>
      <c r="R14" s="59">
        <v>0</v>
      </c>
      <c r="S14" s="59">
        <v>0</v>
      </c>
      <c r="T14" s="59">
        <v>0</v>
      </c>
    </row>
    <row r="15" spans="1:20" x14ac:dyDescent="0.25">
      <c r="A15" s="75"/>
      <c r="B15" s="88" t="s">
        <v>26</v>
      </c>
      <c r="C15" s="88" t="s">
        <v>27</v>
      </c>
      <c r="D15" s="88">
        <v>189</v>
      </c>
      <c r="E15" s="89">
        <v>1</v>
      </c>
      <c r="F15" s="62" t="s">
        <v>133</v>
      </c>
      <c r="G15" s="59">
        <v>4812.5</v>
      </c>
      <c r="H15" s="59">
        <v>6088.5</v>
      </c>
      <c r="I15" s="60">
        <f t="shared" si="0"/>
        <v>0.20957542908762422</v>
      </c>
      <c r="J15" s="59">
        <v>0</v>
      </c>
      <c r="K15" s="59"/>
      <c r="L15" s="81">
        <f t="shared" si="1"/>
        <v>0</v>
      </c>
      <c r="M15" s="59">
        <f t="shared" si="2"/>
        <v>0</v>
      </c>
      <c r="N15" s="58"/>
      <c r="O15" s="58"/>
      <c r="P15" s="59">
        <f t="shared" si="4"/>
        <v>0</v>
      </c>
      <c r="Q15" s="59">
        <v>0</v>
      </c>
      <c r="R15" s="59">
        <v>0</v>
      </c>
      <c r="S15" s="59">
        <v>0</v>
      </c>
      <c r="T15" s="59">
        <v>0</v>
      </c>
    </row>
    <row r="16" spans="1:20" x14ac:dyDescent="0.25">
      <c r="A16" s="75"/>
      <c r="B16" s="88" t="s">
        <v>28</v>
      </c>
      <c r="C16" s="88" t="s">
        <v>29</v>
      </c>
      <c r="D16" s="88">
        <v>116</v>
      </c>
      <c r="E16" s="89">
        <v>1</v>
      </c>
      <c r="F16" s="62" t="s">
        <v>134</v>
      </c>
      <c r="G16" s="59">
        <v>5500</v>
      </c>
      <c r="H16" s="59">
        <v>6957.5</v>
      </c>
      <c r="I16" s="60">
        <f t="shared" si="0"/>
        <v>0.20948616600790515</v>
      </c>
      <c r="J16" s="59">
        <v>0</v>
      </c>
      <c r="K16" s="59"/>
      <c r="L16" s="81">
        <f t="shared" si="1"/>
        <v>0</v>
      </c>
      <c r="M16" s="59">
        <f t="shared" si="2"/>
        <v>0</v>
      </c>
      <c r="N16" s="58"/>
      <c r="O16" s="58"/>
      <c r="P16" s="59">
        <f t="shared" si="4"/>
        <v>0</v>
      </c>
      <c r="Q16" s="59">
        <v>0</v>
      </c>
      <c r="R16" s="59">
        <v>0</v>
      </c>
      <c r="S16" s="59">
        <v>0</v>
      </c>
      <c r="T16" s="59">
        <v>0</v>
      </c>
    </row>
    <row r="17" spans="1:20" x14ac:dyDescent="0.25">
      <c r="A17" s="75"/>
      <c r="B17" s="2" t="s">
        <v>30</v>
      </c>
      <c r="C17" s="2" t="s">
        <v>31</v>
      </c>
      <c r="D17" s="2" t="s">
        <v>32</v>
      </c>
      <c r="E17" s="19">
        <v>1</v>
      </c>
      <c r="F17" s="62" t="s">
        <v>135</v>
      </c>
      <c r="G17" s="59">
        <v>1787.5</v>
      </c>
      <c r="H17" s="59">
        <v>2530</v>
      </c>
      <c r="I17" s="60">
        <f t="shared" si="0"/>
        <v>0.29347826086956524</v>
      </c>
      <c r="J17" s="59">
        <v>0</v>
      </c>
      <c r="K17" s="59"/>
      <c r="L17" s="81">
        <f t="shared" si="1"/>
        <v>0</v>
      </c>
      <c r="M17" s="59">
        <f t="shared" si="2"/>
        <v>0</v>
      </c>
      <c r="N17" s="58"/>
      <c r="O17" s="58"/>
      <c r="P17" s="59">
        <f t="shared" si="4"/>
        <v>0</v>
      </c>
      <c r="Q17" s="59">
        <v>0</v>
      </c>
      <c r="R17" s="59">
        <v>0</v>
      </c>
      <c r="S17" s="59">
        <v>0</v>
      </c>
      <c r="T17" s="59">
        <v>0</v>
      </c>
    </row>
    <row r="18" spans="1:20" x14ac:dyDescent="0.25">
      <c r="A18" s="75"/>
      <c r="B18" s="2" t="s">
        <v>33</v>
      </c>
      <c r="C18" s="2" t="s">
        <v>34</v>
      </c>
      <c r="D18" s="2">
        <v>1114021320</v>
      </c>
      <c r="E18" s="19">
        <v>1</v>
      </c>
      <c r="F18" s="62" t="s">
        <v>136</v>
      </c>
      <c r="G18" s="59">
        <v>721.88</v>
      </c>
      <c r="H18" s="59">
        <v>874.5</v>
      </c>
      <c r="I18" s="60">
        <f t="shared" si="0"/>
        <v>0.17452258433390511</v>
      </c>
      <c r="J18" s="59">
        <v>0</v>
      </c>
      <c r="K18" s="59"/>
      <c r="L18" s="81">
        <f t="shared" si="1"/>
        <v>0</v>
      </c>
      <c r="M18" s="59">
        <f t="shared" si="2"/>
        <v>0</v>
      </c>
      <c r="N18" s="58"/>
      <c r="O18" s="58"/>
      <c r="P18" s="59">
        <f t="shared" si="4"/>
        <v>0</v>
      </c>
      <c r="Q18" s="59">
        <v>0</v>
      </c>
      <c r="R18" s="59">
        <v>0</v>
      </c>
      <c r="S18" s="59">
        <v>0</v>
      </c>
      <c r="T18" s="59">
        <v>0</v>
      </c>
    </row>
    <row r="19" spans="1:20" x14ac:dyDescent="0.25">
      <c r="A19" s="75"/>
      <c r="B19" s="2" t="s">
        <v>35</v>
      </c>
      <c r="C19" s="2" t="s">
        <v>36</v>
      </c>
      <c r="D19" s="2"/>
      <c r="E19" s="19">
        <v>1</v>
      </c>
      <c r="F19" s="62" t="s">
        <v>137</v>
      </c>
      <c r="G19" s="59">
        <v>343.75</v>
      </c>
      <c r="H19" s="59">
        <v>491.7</v>
      </c>
      <c r="I19" s="60">
        <f t="shared" si="0"/>
        <v>0.30089485458612975</v>
      </c>
      <c r="J19" s="59">
        <v>0</v>
      </c>
      <c r="K19" s="59"/>
      <c r="L19" s="81">
        <f t="shared" si="1"/>
        <v>0</v>
      </c>
      <c r="M19" s="59">
        <f t="shared" si="2"/>
        <v>0</v>
      </c>
      <c r="N19" s="58"/>
      <c r="O19" s="58"/>
      <c r="P19" s="59">
        <f t="shared" si="4"/>
        <v>0</v>
      </c>
      <c r="Q19" s="59">
        <v>0</v>
      </c>
      <c r="R19" s="59">
        <v>0</v>
      </c>
      <c r="S19" s="59">
        <v>0</v>
      </c>
      <c r="T19" s="59">
        <v>0</v>
      </c>
    </row>
    <row r="20" spans="1:20" x14ac:dyDescent="0.25">
      <c r="A20" s="75"/>
      <c r="B20" s="2" t="s">
        <v>37</v>
      </c>
      <c r="C20" s="2" t="s">
        <v>38</v>
      </c>
      <c r="D20" s="2"/>
      <c r="E20" s="19">
        <v>1</v>
      </c>
      <c r="F20" s="62" t="s">
        <v>138</v>
      </c>
      <c r="G20" s="59">
        <v>24.75</v>
      </c>
      <c r="H20" s="59">
        <v>36.299999999999997</v>
      </c>
      <c r="I20" s="60">
        <f t="shared" si="0"/>
        <v>0.31818181818181812</v>
      </c>
      <c r="J20" s="59">
        <v>0</v>
      </c>
      <c r="K20" s="59"/>
      <c r="L20" s="81">
        <f t="shared" si="1"/>
        <v>0</v>
      </c>
      <c r="M20" s="59">
        <f t="shared" si="2"/>
        <v>0</v>
      </c>
      <c r="N20" s="58"/>
      <c r="O20" s="58"/>
      <c r="P20" s="59">
        <f t="shared" si="4"/>
        <v>0</v>
      </c>
      <c r="Q20" s="59">
        <v>0</v>
      </c>
      <c r="R20" s="59">
        <v>0</v>
      </c>
      <c r="S20" s="59">
        <v>0</v>
      </c>
      <c r="T20" s="59">
        <v>0</v>
      </c>
    </row>
    <row r="21" spans="1:20" x14ac:dyDescent="0.25">
      <c r="B21" s="6"/>
      <c r="C21" s="22" t="s">
        <v>50</v>
      </c>
      <c r="D21" s="6"/>
      <c r="E21" s="6"/>
      <c r="J21" s="59"/>
      <c r="K21" s="59"/>
      <c r="N21" s="58"/>
      <c r="O21" s="58"/>
    </row>
    <row r="22" spans="1:20" s="70" customFormat="1" x14ac:dyDescent="0.25">
      <c r="B22" s="71"/>
      <c r="C22" s="22" t="s">
        <v>161</v>
      </c>
      <c r="D22" s="71"/>
      <c r="E22" s="71"/>
      <c r="F22" s="68"/>
      <c r="G22" s="69"/>
      <c r="H22" s="69"/>
      <c r="J22" s="69"/>
      <c r="K22" s="69"/>
      <c r="L22" s="69"/>
      <c r="M22" s="69"/>
      <c r="N22" s="79"/>
      <c r="O22" s="79"/>
      <c r="P22" s="69"/>
      <c r="Q22" s="69"/>
    </row>
    <row r="23" spans="1:20" x14ac:dyDescent="0.25">
      <c r="B23" s="93" t="s">
        <v>39</v>
      </c>
      <c r="C23" s="94" t="s">
        <v>12</v>
      </c>
      <c r="D23" s="92"/>
      <c r="E23" s="89">
        <v>1</v>
      </c>
      <c r="F23" s="62" t="s">
        <v>139</v>
      </c>
      <c r="G23" s="59">
        <v>26125</v>
      </c>
      <c r="H23" s="59">
        <v>34485</v>
      </c>
      <c r="I23" s="60">
        <f t="shared" ref="I23:I26" si="5">(H23-G23)/H23</f>
        <v>0.24242424242424243</v>
      </c>
      <c r="J23" s="59">
        <f>G23</f>
        <v>26125</v>
      </c>
      <c r="K23" s="59">
        <f>G23*(1+$K$2)</f>
        <v>31611.25</v>
      </c>
      <c r="L23" s="81">
        <f t="shared" ref="L23:L36" si="6">E23*G23</f>
        <v>26125</v>
      </c>
      <c r="M23" s="59">
        <f t="shared" ref="M23:M26" si="7">K23*E23</f>
        <v>31611.25</v>
      </c>
      <c r="N23" s="58"/>
      <c r="O23" s="58"/>
      <c r="P23" s="59">
        <f>L23/$A$4*12</f>
        <v>8708.3333333333339</v>
      </c>
      <c r="Q23" s="59">
        <f t="shared" ref="Q23:R26" si="8">P23</f>
        <v>8708.3333333333339</v>
      </c>
      <c r="R23" s="65">
        <f t="shared" si="8"/>
        <v>8708.3333333333339</v>
      </c>
      <c r="S23" s="59">
        <v>0</v>
      </c>
      <c r="T23" s="59">
        <v>0</v>
      </c>
    </row>
    <row r="24" spans="1:20" x14ac:dyDescent="0.25">
      <c r="B24" s="3" t="s">
        <v>40</v>
      </c>
      <c r="C24" s="5" t="s">
        <v>41</v>
      </c>
      <c r="D24" s="4"/>
      <c r="E24" s="19">
        <v>1</v>
      </c>
      <c r="F24" s="62">
        <v>6509932001</v>
      </c>
      <c r="G24" s="59">
        <v>1375</v>
      </c>
      <c r="H24" s="59">
        <v>1969</v>
      </c>
      <c r="I24" s="60">
        <f t="shared" si="5"/>
        <v>0.3016759776536313</v>
      </c>
      <c r="J24" s="59">
        <f t="shared" ref="J24:J26" si="9">G24</f>
        <v>1375</v>
      </c>
      <c r="K24" s="59">
        <f t="shared" ref="K24:K26" si="10">G24*(1+$K$2)</f>
        <v>1663.75</v>
      </c>
      <c r="L24" s="81">
        <f t="shared" si="6"/>
        <v>1375</v>
      </c>
      <c r="M24" s="59">
        <f t="shared" si="7"/>
        <v>1663.75</v>
      </c>
      <c r="N24" s="58"/>
      <c r="O24" s="58"/>
      <c r="P24" s="59">
        <f>L24/$A$4*12</f>
        <v>458.33333333333331</v>
      </c>
      <c r="Q24" s="59">
        <f t="shared" si="8"/>
        <v>458.33333333333331</v>
      </c>
      <c r="R24" s="65">
        <f t="shared" si="8"/>
        <v>458.33333333333331</v>
      </c>
      <c r="S24" s="59">
        <v>0</v>
      </c>
      <c r="T24" s="59">
        <v>0</v>
      </c>
    </row>
    <row r="25" spans="1:20" x14ac:dyDescent="0.25">
      <c r="B25" s="90" t="s">
        <v>42</v>
      </c>
      <c r="C25" s="91" t="s">
        <v>43</v>
      </c>
      <c r="D25" s="92"/>
      <c r="E25" s="89">
        <v>1</v>
      </c>
      <c r="F25" s="62" t="s">
        <v>140</v>
      </c>
      <c r="G25" s="59">
        <v>7000</v>
      </c>
      <c r="H25" s="59">
        <v>10010</v>
      </c>
      <c r="I25" s="60">
        <f t="shared" si="5"/>
        <v>0.30069930069930068</v>
      </c>
      <c r="J25" s="59">
        <f t="shared" si="9"/>
        <v>7000</v>
      </c>
      <c r="K25" s="59">
        <f t="shared" si="10"/>
        <v>8470</v>
      </c>
      <c r="L25" s="81">
        <f t="shared" si="6"/>
        <v>7000</v>
      </c>
      <c r="M25" s="59">
        <f t="shared" si="7"/>
        <v>8470</v>
      </c>
      <c r="N25" s="58"/>
      <c r="O25" s="58"/>
      <c r="P25" s="59">
        <f t="shared" ref="P25" si="11">L25/$A$4*12</f>
        <v>2333.3333333333335</v>
      </c>
      <c r="Q25" s="59">
        <f t="shared" si="8"/>
        <v>2333.3333333333335</v>
      </c>
      <c r="R25" s="87">
        <f t="shared" si="8"/>
        <v>2333.3333333333335</v>
      </c>
    </row>
    <row r="26" spans="1:20" x14ac:dyDescent="0.25">
      <c r="B26" s="30" t="s">
        <v>44</v>
      </c>
      <c r="C26" s="31" t="s">
        <v>45</v>
      </c>
      <c r="D26" s="8"/>
      <c r="E26" s="20">
        <v>1</v>
      </c>
      <c r="F26" s="62" t="s">
        <v>141</v>
      </c>
      <c r="G26" s="59">
        <v>1375</v>
      </c>
      <c r="H26" s="59">
        <v>1966.8</v>
      </c>
      <c r="I26" s="60">
        <f t="shared" si="5"/>
        <v>0.30089485458612975</v>
      </c>
      <c r="J26" s="59">
        <f t="shared" si="9"/>
        <v>1375</v>
      </c>
      <c r="K26" s="59">
        <f t="shared" si="10"/>
        <v>1663.75</v>
      </c>
      <c r="L26" s="81">
        <f t="shared" si="6"/>
        <v>1375</v>
      </c>
      <c r="M26" s="59">
        <f t="shared" si="7"/>
        <v>1663.75</v>
      </c>
      <c r="N26" s="58"/>
      <c r="O26" s="58"/>
      <c r="P26" s="59">
        <f>L26/$A$4*12</f>
        <v>458.33333333333331</v>
      </c>
      <c r="Q26" s="59">
        <f t="shared" si="8"/>
        <v>458.33333333333331</v>
      </c>
      <c r="R26" s="65">
        <f t="shared" si="8"/>
        <v>458.33333333333331</v>
      </c>
      <c r="S26" s="59">
        <v>0</v>
      </c>
      <c r="T26" s="59">
        <v>0</v>
      </c>
    </row>
    <row r="27" spans="1:20" x14ac:dyDescent="0.25">
      <c r="B27" s="36"/>
      <c r="C27" s="50" t="s">
        <v>114</v>
      </c>
      <c r="D27" s="37"/>
      <c r="E27" s="45"/>
      <c r="J27" s="59"/>
      <c r="K27" s="59"/>
      <c r="N27" s="58"/>
      <c r="O27" s="58"/>
    </row>
    <row r="28" spans="1:20" x14ac:dyDescent="0.25">
      <c r="B28" s="33" t="s">
        <v>106</v>
      </c>
      <c r="C28" s="34" t="s">
        <v>98</v>
      </c>
      <c r="D28" s="35"/>
      <c r="E28" s="38">
        <v>6</v>
      </c>
      <c r="F28" s="62" t="str">
        <f>B28</f>
        <v>05014468001</v>
      </c>
      <c r="G28" s="59">
        <v>2.3199999999999998</v>
      </c>
      <c r="H28" s="59">
        <v>3.02</v>
      </c>
      <c r="I28" s="60">
        <f t="shared" ref="I28:I36" si="12">(H28-G28)/H28</f>
        <v>0.23178807947019872</v>
      </c>
      <c r="J28" s="59">
        <f t="shared" ref="J28:K36" si="13">G28</f>
        <v>2.3199999999999998</v>
      </c>
      <c r="K28" s="59">
        <f t="shared" si="13"/>
        <v>3.02</v>
      </c>
      <c r="L28" s="81">
        <f t="shared" si="6"/>
        <v>13.919999999999998</v>
      </c>
      <c r="M28" s="59">
        <f t="shared" ref="M28:M36" si="14">K28*E28</f>
        <v>18.12</v>
      </c>
      <c r="N28" s="58"/>
      <c r="O28" s="58"/>
      <c r="P28" s="59">
        <f>L28</f>
        <v>13.919999999999998</v>
      </c>
      <c r="Q28" s="59">
        <f>P28</f>
        <v>13.919999999999998</v>
      </c>
      <c r="R28" s="87">
        <f>Q28</f>
        <v>13.919999999999998</v>
      </c>
      <c r="S28" s="87">
        <f>R28</f>
        <v>13.919999999999998</v>
      </c>
      <c r="T28" s="87">
        <f>S28</f>
        <v>13.919999999999998</v>
      </c>
    </row>
    <row r="29" spans="1:20" x14ac:dyDescent="0.25">
      <c r="B29" s="33" t="s">
        <v>107</v>
      </c>
      <c r="C29" s="34" t="s">
        <v>99</v>
      </c>
      <c r="D29" s="35"/>
      <c r="E29" s="38">
        <v>2</v>
      </c>
      <c r="F29" s="62" t="str">
        <f t="shared" ref="F29:F36" si="15">B29</f>
        <v>06572227001</v>
      </c>
      <c r="G29" s="59">
        <v>124.26</v>
      </c>
      <c r="H29" s="59">
        <v>161.54</v>
      </c>
      <c r="I29" s="60">
        <f t="shared" si="12"/>
        <v>0.23077875448805243</v>
      </c>
      <c r="J29" s="59">
        <f t="shared" si="13"/>
        <v>124.26</v>
      </c>
      <c r="K29" s="59">
        <f t="shared" si="13"/>
        <v>161.54</v>
      </c>
      <c r="L29" s="81">
        <f t="shared" si="6"/>
        <v>248.52</v>
      </c>
      <c r="M29" s="59">
        <f t="shared" si="14"/>
        <v>323.08</v>
      </c>
      <c r="N29" s="58"/>
      <c r="O29" s="58"/>
      <c r="P29" s="59">
        <f t="shared" ref="P29:P36" si="16">L29</f>
        <v>248.52</v>
      </c>
      <c r="Q29" s="59">
        <f t="shared" ref="Q29:T36" si="17">P29</f>
        <v>248.52</v>
      </c>
      <c r="R29" s="87">
        <f t="shared" si="17"/>
        <v>248.52</v>
      </c>
      <c r="S29" s="87">
        <f t="shared" si="17"/>
        <v>248.52</v>
      </c>
      <c r="T29" s="87">
        <f t="shared" si="17"/>
        <v>248.52</v>
      </c>
    </row>
    <row r="30" spans="1:20" x14ac:dyDescent="0.25">
      <c r="B30" s="33" t="s">
        <v>108</v>
      </c>
      <c r="C30" s="34" t="s">
        <v>100</v>
      </c>
      <c r="D30" s="35"/>
      <c r="E30" s="38">
        <v>2</v>
      </c>
      <c r="F30" s="62" t="str">
        <f t="shared" si="15"/>
        <v>06934226001</v>
      </c>
      <c r="G30" s="59">
        <v>60.79</v>
      </c>
      <c r="H30" s="59">
        <v>79.03</v>
      </c>
      <c r="I30" s="60">
        <f t="shared" si="12"/>
        <v>0.23079843097557892</v>
      </c>
      <c r="J30" s="59">
        <f t="shared" si="13"/>
        <v>60.79</v>
      </c>
      <c r="K30" s="59">
        <f t="shared" si="13"/>
        <v>79.03</v>
      </c>
      <c r="L30" s="81">
        <f t="shared" si="6"/>
        <v>121.58</v>
      </c>
      <c r="M30" s="59">
        <f t="shared" si="14"/>
        <v>158.06</v>
      </c>
      <c r="N30" s="58"/>
      <c r="O30" s="58"/>
      <c r="P30" s="59">
        <f t="shared" si="16"/>
        <v>121.58</v>
      </c>
      <c r="Q30" s="59">
        <f t="shared" si="17"/>
        <v>121.58</v>
      </c>
      <c r="R30" s="87">
        <f t="shared" si="17"/>
        <v>121.58</v>
      </c>
      <c r="S30" s="87">
        <f t="shared" si="17"/>
        <v>121.58</v>
      </c>
      <c r="T30" s="87">
        <f t="shared" si="17"/>
        <v>121.58</v>
      </c>
    </row>
    <row r="31" spans="1:20" x14ac:dyDescent="0.25">
      <c r="B31" s="33" t="s">
        <v>109</v>
      </c>
      <c r="C31" s="34" t="s">
        <v>101</v>
      </c>
      <c r="D31" s="35"/>
      <c r="E31" s="38">
        <v>2</v>
      </c>
      <c r="F31" s="62" t="str">
        <f t="shared" si="15"/>
        <v>06931090001</v>
      </c>
      <c r="G31" s="59">
        <v>7.84</v>
      </c>
      <c r="H31" s="59">
        <v>10.19</v>
      </c>
      <c r="I31" s="60">
        <f t="shared" si="12"/>
        <v>0.23061825318940135</v>
      </c>
      <c r="J31" s="59">
        <f t="shared" si="13"/>
        <v>7.84</v>
      </c>
      <c r="K31" s="59">
        <f t="shared" si="13"/>
        <v>10.19</v>
      </c>
      <c r="L31" s="81">
        <f t="shared" si="6"/>
        <v>15.68</v>
      </c>
      <c r="M31" s="59">
        <f t="shared" si="14"/>
        <v>20.38</v>
      </c>
      <c r="N31" s="58"/>
      <c r="O31" s="58"/>
      <c r="P31" s="59">
        <f t="shared" si="16"/>
        <v>15.68</v>
      </c>
      <c r="Q31" s="59">
        <f t="shared" si="17"/>
        <v>15.68</v>
      </c>
      <c r="R31" s="87">
        <f t="shared" si="17"/>
        <v>15.68</v>
      </c>
      <c r="S31" s="87">
        <f t="shared" si="17"/>
        <v>15.68</v>
      </c>
      <c r="T31" s="87">
        <f t="shared" si="17"/>
        <v>15.68</v>
      </c>
    </row>
    <row r="32" spans="1:20" x14ac:dyDescent="0.25">
      <c r="B32" s="30" t="s">
        <v>110</v>
      </c>
      <c r="C32" s="31" t="s">
        <v>102</v>
      </c>
      <c r="D32" s="8"/>
      <c r="E32" s="38">
        <v>4</v>
      </c>
      <c r="F32" s="62" t="str">
        <f t="shared" si="15"/>
        <v>06931537001</v>
      </c>
      <c r="G32" s="59">
        <v>0.75</v>
      </c>
      <c r="H32" s="59">
        <v>0.98</v>
      </c>
      <c r="I32" s="60">
        <f t="shared" si="12"/>
        <v>0.23469387755102039</v>
      </c>
      <c r="J32" s="59">
        <f t="shared" si="13"/>
        <v>0.75</v>
      </c>
      <c r="K32" s="59">
        <f t="shared" si="13"/>
        <v>0.98</v>
      </c>
      <c r="L32" s="81">
        <f t="shared" si="6"/>
        <v>3</v>
      </c>
      <c r="M32" s="59">
        <f t="shared" si="14"/>
        <v>3.92</v>
      </c>
      <c r="N32" s="58"/>
      <c r="O32" s="58"/>
      <c r="P32" s="59">
        <f>L32</f>
        <v>3</v>
      </c>
      <c r="Q32" s="59">
        <f t="shared" si="17"/>
        <v>3</v>
      </c>
      <c r="R32" s="87">
        <f t="shared" si="17"/>
        <v>3</v>
      </c>
      <c r="S32" s="87">
        <f t="shared" si="17"/>
        <v>3</v>
      </c>
      <c r="T32" s="87">
        <f t="shared" si="17"/>
        <v>3</v>
      </c>
    </row>
    <row r="33" spans="1:22" x14ac:dyDescent="0.25">
      <c r="B33" s="30" t="s">
        <v>111</v>
      </c>
      <c r="C33" s="31" t="s">
        <v>103</v>
      </c>
      <c r="D33" s="8"/>
      <c r="E33" s="38">
        <v>2</v>
      </c>
      <c r="F33" s="62" t="str">
        <f t="shared" si="15"/>
        <v>05011418001</v>
      </c>
      <c r="G33" s="59">
        <v>0.62</v>
      </c>
      <c r="H33" s="59">
        <v>0.81</v>
      </c>
      <c r="I33" s="60">
        <f t="shared" si="12"/>
        <v>0.23456790123456794</v>
      </c>
      <c r="J33" s="59">
        <f t="shared" si="13"/>
        <v>0.62</v>
      </c>
      <c r="K33" s="59">
        <f t="shared" si="13"/>
        <v>0.81</v>
      </c>
      <c r="L33" s="81">
        <f t="shared" si="6"/>
        <v>1.24</v>
      </c>
      <c r="M33" s="59">
        <f t="shared" si="14"/>
        <v>1.62</v>
      </c>
      <c r="N33" s="58"/>
      <c r="O33" s="58"/>
      <c r="P33" s="59">
        <f t="shared" si="16"/>
        <v>1.24</v>
      </c>
      <c r="Q33" s="59">
        <f t="shared" si="17"/>
        <v>1.24</v>
      </c>
      <c r="R33" s="87">
        <f t="shared" si="17"/>
        <v>1.24</v>
      </c>
      <c r="S33" s="87">
        <f t="shared" si="17"/>
        <v>1.24</v>
      </c>
      <c r="T33" s="87">
        <f t="shared" si="17"/>
        <v>1.24</v>
      </c>
    </row>
    <row r="34" spans="1:22" x14ac:dyDescent="0.25">
      <c r="B34" s="30" t="s">
        <v>112</v>
      </c>
      <c r="C34" s="31" t="s">
        <v>104</v>
      </c>
      <c r="D34" s="8"/>
      <c r="E34" s="38">
        <v>2</v>
      </c>
      <c r="F34" s="62" t="str">
        <f t="shared" si="15"/>
        <v>06572596001</v>
      </c>
      <c r="G34" s="59">
        <v>8.0399999999999991</v>
      </c>
      <c r="H34" s="59">
        <v>10.45</v>
      </c>
      <c r="I34" s="60">
        <f t="shared" si="12"/>
        <v>0.23062200956937801</v>
      </c>
      <c r="J34" s="59">
        <f t="shared" si="13"/>
        <v>8.0399999999999991</v>
      </c>
      <c r="K34" s="59">
        <f t="shared" si="13"/>
        <v>10.45</v>
      </c>
      <c r="L34" s="81">
        <f t="shared" si="6"/>
        <v>16.079999999999998</v>
      </c>
      <c r="M34" s="59">
        <f t="shared" si="14"/>
        <v>20.9</v>
      </c>
      <c r="N34" s="58"/>
      <c r="O34" s="58"/>
      <c r="P34" s="59">
        <f t="shared" si="16"/>
        <v>16.079999999999998</v>
      </c>
      <c r="Q34" s="59">
        <f t="shared" si="17"/>
        <v>16.079999999999998</v>
      </c>
      <c r="R34" s="87">
        <f t="shared" si="17"/>
        <v>16.079999999999998</v>
      </c>
      <c r="S34" s="87">
        <f t="shared" si="17"/>
        <v>16.079999999999998</v>
      </c>
      <c r="T34" s="87">
        <f t="shared" si="17"/>
        <v>16.079999999999998</v>
      </c>
    </row>
    <row r="35" spans="1:22" x14ac:dyDescent="0.25">
      <c r="B35" s="30" t="s">
        <v>113</v>
      </c>
      <c r="C35" s="31" t="s">
        <v>105</v>
      </c>
      <c r="D35" s="8"/>
      <c r="E35" s="38">
        <v>4</v>
      </c>
      <c r="F35" s="62" t="str">
        <f t="shared" si="15"/>
        <v>06572243001</v>
      </c>
      <c r="G35" s="59">
        <v>0.7</v>
      </c>
      <c r="H35" s="59">
        <v>0.91</v>
      </c>
      <c r="I35" s="60">
        <f t="shared" si="12"/>
        <v>0.23076923076923084</v>
      </c>
      <c r="J35" s="59">
        <f t="shared" si="13"/>
        <v>0.7</v>
      </c>
      <c r="K35" s="59">
        <f>H35</f>
        <v>0.91</v>
      </c>
      <c r="L35" s="81">
        <f t="shared" si="6"/>
        <v>2.8</v>
      </c>
      <c r="M35" s="59">
        <f t="shared" si="14"/>
        <v>3.64</v>
      </c>
      <c r="N35" s="58"/>
      <c r="O35" s="58"/>
      <c r="P35" s="59">
        <f t="shared" si="16"/>
        <v>2.8</v>
      </c>
      <c r="Q35" s="59">
        <f t="shared" si="17"/>
        <v>2.8</v>
      </c>
      <c r="R35" s="87">
        <f t="shared" si="17"/>
        <v>2.8</v>
      </c>
      <c r="S35" s="87">
        <f t="shared" si="17"/>
        <v>2.8</v>
      </c>
      <c r="T35" s="87">
        <f t="shared" si="17"/>
        <v>2.8</v>
      </c>
    </row>
    <row r="36" spans="1:22" ht="15.75" thickBot="1" x14ac:dyDescent="0.3">
      <c r="B36" s="12" t="s">
        <v>142</v>
      </c>
      <c r="C36" s="11" t="s">
        <v>115</v>
      </c>
      <c r="D36" s="32"/>
      <c r="E36" s="39">
        <v>30</v>
      </c>
      <c r="F36" s="62" t="str">
        <f t="shared" si="15"/>
        <v>07418248001</v>
      </c>
      <c r="G36" s="59">
        <v>12.17</v>
      </c>
      <c r="H36" s="59">
        <v>24.98</v>
      </c>
      <c r="I36" s="60">
        <f t="shared" si="12"/>
        <v>0.5128102481985588</v>
      </c>
      <c r="J36" s="59">
        <f t="shared" si="13"/>
        <v>12.17</v>
      </c>
      <c r="K36" s="59">
        <v>24.98</v>
      </c>
      <c r="L36" s="81">
        <f t="shared" si="6"/>
        <v>365.1</v>
      </c>
      <c r="M36" s="59">
        <f t="shared" si="14"/>
        <v>749.4</v>
      </c>
      <c r="N36" s="58"/>
      <c r="O36" s="58"/>
      <c r="P36" s="59">
        <f t="shared" si="16"/>
        <v>365.1</v>
      </c>
      <c r="Q36" s="59">
        <f t="shared" si="17"/>
        <v>365.1</v>
      </c>
      <c r="R36" s="87">
        <f t="shared" si="17"/>
        <v>365.1</v>
      </c>
      <c r="S36" s="87">
        <f t="shared" si="17"/>
        <v>365.1</v>
      </c>
      <c r="T36" s="87">
        <f t="shared" si="17"/>
        <v>365.1</v>
      </c>
    </row>
    <row r="37" spans="1:22" ht="15.75" thickBot="1" x14ac:dyDescent="0.3">
      <c r="A37" s="16"/>
      <c r="B37" s="177" t="s">
        <v>51</v>
      </c>
      <c r="C37" s="178"/>
      <c r="D37" s="10"/>
      <c r="E37" s="10"/>
      <c r="J37" s="59"/>
      <c r="K37" s="59"/>
      <c r="N37" s="58"/>
      <c r="O37" s="58"/>
    </row>
    <row r="38" spans="1:22" x14ac:dyDescent="0.25">
      <c r="C38" s="13"/>
      <c r="D38" s="9"/>
      <c r="J38" s="59"/>
      <c r="K38" s="59"/>
      <c r="N38" s="58"/>
      <c r="O38" s="58"/>
    </row>
    <row r="39" spans="1:22" x14ac:dyDescent="0.25">
      <c r="J39" s="59"/>
      <c r="K39" s="59"/>
      <c r="N39" s="58"/>
      <c r="O39" s="58"/>
    </row>
    <row r="40" spans="1:22" x14ac:dyDescent="0.25">
      <c r="B40" s="7" t="s">
        <v>49</v>
      </c>
      <c r="C40" s="7"/>
      <c r="J40" s="59"/>
      <c r="K40" s="59"/>
      <c r="N40" s="58"/>
      <c r="O40" s="58"/>
    </row>
    <row r="41" spans="1:22" x14ac:dyDescent="0.25">
      <c r="A41" s="17" t="s">
        <v>53</v>
      </c>
      <c r="B41" s="1" t="s">
        <v>46</v>
      </c>
      <c r="C41" s="1" t="s">
        <v>47</v>
      </c>
      <c r="D41" s="1" t="s">
        <v>48</v>
      </c>
      <c r="E41" s="1" t="s">
        <v>72</v>
      </c>
      <c r="J41" s="59"/>
      <c r="K41" s="59"/>
      <c r="N41" s="58"/>
      <c r="O41" s="58"/>
    </row>
    <row r="42" spans="1:22" s="70" customFormat="1" x14ac:dyDescent="0.25">
      <c r="A42" s="17">
        <v>60</v>
      </c>
      <c r="B42" s="1"/>
      <c r="C42" s="1" t="s">
        <v>161</v>
      </c>
      <c r="D42" s="1"/>
      <c r="E42" s="1"/>
      <c r="F42" s="68"/>
      <c r="G42" s="69">
        <f>SUM(G43:G53)</f>
        <v>67315.19</v>
      </c>
      <c r="H42" s="69">
        <f>SUM(H43:H53)</f>
        <v>82725.25</v>
      </c>
      <c r="J42" s="69">
        <f>SUM(J43:J53)</f>
        <v>42975.189999999995</v>
      </c>
      <c r="K42" s="69">
        <f>SUM(K43:K53)</f>
        <v>53399.465653282961</v>
      </c>
      <c r="L42" s="69">
        <f t="shared" ref="L42:M42" si="18">SUM(L43:L53)</f>
        <v>44576.14</v>
      </c>
      <c r="M42" s="69">
        <f t="shared" si="18"/>
        <v>55080.463153282966</v>
      </c>
      <c r="N42" s="79">
        <f>-PV($N$2,A42,M42/A42)</f>
        <v>54101.264457185687</v>
      </c>
      <c r="O42" s="79">
        <f>ROUND(N42/A42,0)</f>
        <v>902</v>
      </c>
      <c r="P42" s="69"/>
      <c r="Q42" s="69"/>
    </row>
    <row r="43" spans="1:22" x14ac:dyDescent="0.25">
      <c r="A43" s="75"/>
      <c r="B43" s="95">
        <v>4745868001</v>
      </c>
      <c r="C43" s="95" t="s">
        <v>54</v>
      </c>
      <c r="D43" s="95" t="s">
        <v>59</v>
      </c>
      <c r="E43" s="89">
        <v>1</v>
      </c>
      <c r="F43" s="63">
        <v>4745868001</v>
      </c>
      <c r="G43" s="59">
        <v>18365</v>
      </c>
      <c r="H43" s="59">
        <v>20997.45</v>
      </c>
      <c r="I43" s="60">
        <f t="shared" ref="I43:I46" si="19">(H43-G43)/H43</f>
        <v>0.12536998540298944</v>
      </c>
      <c r="J43" s="59">
        <v>11112</v>
      </c>
      <c r="K43" s="59">
        <v>13340.040708957256</v>
      </c>
      <c r="L43" s="81">
        <f t="shared" ref="L43:L46" si="20">E43*J43</f>
        <v>11112</v>
      </c>
      <c r="M43" s="59">
        <f t="shared" ref="M43:M46" si="21">K43*E43</f>
        <v>13340.040708957256</v>
      </c>
      <c r="N43" s="58"/>
      <c r="O43" s="58"/>
      <c r="P43" s="59">
        <f>G43/$A$42*12</f>
        <v>3673</v>
      </c>
      <c r="Q43" s="59">
        <f t="shared" ref="Q43:R46" si="22">P43</f>
        <v>3673</v>
      </c>
      <c r="R43" s="59">
        <f t="shared" si="22"/>
        <v>3673</v>
      </c>
      <c r="S43" s="87">
        <f>-((R43)*3-L43)</f>
        <v>93</v>
      </c>
      <c r="T43" s="87">
        <v>0</v>
      </c>
      <c r="V43" s="65"/>
    </row>
    <row r="44" spans="1:22" x14ac:dyDescent="0.25">
      <c r="A44" s="75"/>
      <c r="B44" s="95">
        <v>4745914001</v>
      </c>
      <c r="C44" s="95" t="s">
        <v>55</v>
      </c>
      <c r="D44" s="95" t="s">
        <v>60</v>
      </c>
      <c r="E44" s="89">
        <v>1</v>
      </c>
      <c r="F44" s="63">
        <v>4745914001</v>
      </c>
      <c r="G44" s="59">
        <v>41177</v>
      </c>
      <c r="H44" s="59">
        <v>51436.52</v>
      </c>
      <c r="I44" s="60">
        <f t="shared" si="19"/>
        <v>0.19945983904043271</v>
      </c>
      <c r="J44" s="59">
        <v>24926</v>
      </c>
      <c r="K44" s="59">
        <v>32693.300444325712</v>
      </c>
      <c r="L44" s="81">
        <f t="shared" si="20"/>
        <v>24926</v>
      </c>
      <c r="M44" s="59">
        <f t="shared" si="21"/>
        <v>32693.300444325712</v>
      </c>
      <c r="N44" s="58"/>
      <c r="O44" s="58"/>
      <c r="P44" s="59">
        <f>G44/$A$42*12</f>
        <v>8235.4</v>
      </c>
      <c r="Q44" s="59">
        <f t="shared" si="22"/>
        <v>8235.4</v>
      </c>
      <c r="R44" s="59">
        <f t="shared" si="22"/>
        <v>8235.4</v>
      </c>
      <c r="S44" s="87">
        <f>-((R44)*3-L44)</f>
        <v>219.80000000000291</v>
      </c>
      <c r="T44">
        <v>0</v>
      </c>
    </row>
    <row r="45" spans="1:22" x14ac:dyDescent="0.25">
      <c r="A45" s="75"/>
      <c r="B45" s="14">
        <v>4433297001</v>
      </c>
      <c r="C45" s="14" t="s">
        <v>56</v>
      </c>
      <c r="D45" s="14" t="s">
        <v>61</v>
      </c>
      <c r="E45" s="19">
        <v>1</v>
      </c>
      <c r="F45" s="63">
        <v>4433297001</v>
      </c>
      <c r="G45" s="59">
        <v>1026</v>
      </c>
      <c r="H45" s="59">
        <v>1448.1</v>
      </c>
      <c r="I45" s="60">
        <f t="shared" si="19"/>
        <v>0.29148539465506523</v>
      </c>
      <c r="J45" s="59">
        <v>190</v>
      </c>
      <c r="K45" s="59">
        <v>281.57499999999999</v>
      </c>
      <c r="L45" s="81">
        <f t="shared" si="20"/>
        <v>190</v>
      </c>
      <c r="M45" s="59">
        <f t="shared" si="21"/>
        <v>281.57499999999999</v>
      </c>
      <c r="N45" s="58"/>
      <c r="O45" s="58"/>
      <c r="P45" s="59">
        <f>L45/$A$4*12</f>
        <v>63.333333333333329</v>
      </c>
      <c r="Q45" s="59">
        <f t="shared" si="22"/>
        <v>63.333333333333329</v>
      </c>
      <c r="R45" s="65">
        <f t="shared" si="22"/>
        <v>63.333333333333329</v>
      </c>
      <c r="S45">
        <v>0</v>
      </c>
      <c r="T45">
        <v>0</v>
      </c>
    </row>
    <row r="46" spans="1:22" x14ac:dyDescent="0.25">
      <c r="A46" s="75"/>
      <c r="B46" s="15"/>
      <c r="C46" s="15" t="s">
        <v>57</v>
      </c>
      <c r="D46" s="15" t="s">
        <v>58</v>
      </c>
      <c r="E46" s="20">
        <v>1</v>
      </c>
      <c r="F46" s="63" t="s">
        <v>163</v>
      </c>
      <c r="G46" s="59">
        <v>1448.1</v>
      </c>
      <c r="H46" s="59">
        <v>1883</v>
      </c>
      <c r="I46" s="60">
        <f t="shared" si="19"/>
        <v>0.23096123207647376</v>
      </c>
      <c r="J46" s="59">
        <f>G46</f>
        <v>1448.1</v>
      </c>
      <c r="K46" s="59">
        <f>G46*1.05</f>
        <v>1520.5049999999999</v>
      </c>
      <c r="L46" s="81">
        <f t="shared" si="20"/>
        <v>1448.1</v>
      </c>
      <c r="M46" s="59">
        <f t="shared" si="21"/>
        <v>1520.5049999999999</v>
      </c>
      <c r="N46" s="58"/>
      <c r="O46" s="58"/>
      <c r="P46" s="59">
        <f>L46/$A$4*12</f>
        <v>482.69999999999993</v>
      </c>
      <c r="Q46" s="59">
        <f t="shared" si="22"/>
        <v>482.69999999999993</v>
      </c>
      <c r="R46" s="65">
        <f t="shared" si="22"/>
        <v>482.69999999999993</v>
      </c>
      <c r="S46">
        <v>0</v>
      </c>
      <c r="T46">
        <v>0</v>
      </c>
    </row>
    <row r="47" spans="1:22" x14ac:dyDescent="0.25">
      <c r="A47" s="75"/>
      <c r="B47" s="6"/>
      <c r="C47" s="21" t="s">
        <v>73</v>
      </c>
      <c r="D47" s="6"/>
      <c r="E47" s="45"/>
      <c r="J47" s="59"/>
      <c r="K47" s="59"/>
      <c r="N47" s="58"/>
      <c r="O47" s="58"/>
      <c r="Q47" s="59">
        <v>0</v>
      </c>
    </row>
    <row r="48" spans="1:22" x14ac:dyDescent="0.25">
      <c r="A48" s="75"/>
      <c r="B48" s="96">
        <v>4885775001</v>
      </c>
      <c r="C48" s="96" t="s">
        <v>66</v>
      </c>
      <c r="D48" s="96"/>
      <c r="E48" s="89">
        <v>1</v>
      </c>
      <c r="F48" s="63">
        <v>4885775001</v>
      </c>
      <c r="G48" s="59">
        <v>4435</v>
      </c>
      <c r="H48" s="59">
        <v>5213.16</v>
      </c>
      <c r="I48" s="60">
        <f>(H48-G48)/H48</f>
        <v>0.14926838999762138</v>
      </c>
      <c r="J48" s="59">
        <f>G48</f>
        <v>4435</v>
      </c>
      <c r="K48" s="59">
        <f t="shared" ref="K48" si="23">G48*1.05</f>
        <v>4656.75</v>
      </c>
      <c r="L48" s="81">
        <f t="shared" ref="L48" si="24">E48*G48</f>
        <v>4435</v>
      </c>
      <c r="M48" s="59">
        <f t="shared" ref="M48" si="25">K48*E48</f>
        <v>4656.75</v>
      </c>
      <c r="N48" s="58"/>
      <c r="O48" s="58"/>
      <c r="P48" s="59">
        <f>G48/$A$42*12</f>
        <v>887</v>
      </c>
      <c r="Q48" s="59">
        <f>P48</f>
        <v>887</v>
      </c>
      <c r="R48" s="87">
        <f>Q48</f>
        <v>887</v>
      </c>
      <c r="S48" s="65">
        <f>R48</f>
        <v>887</v>
      </c>
      <c r="T48" s="65">
        <f>S48</f>
        <v>887</v>
      </c>
    </row>
    <row r="49" spans="1:20" x14ac:dyDescent="0.25">
      <c r="B49" s="42"/>
      <c r="C49" s="51" t="s">
        <v>97</v>
      </c>
      <c r="D49" s="42"/>
      <c r="E49" s="44"/>
      <c r="J49" s="59"/>
      <c r="K49" s="59"/>
      <c r="N49" s="58"/>
      <c r="O49" s="58"/>
    </row>
    <row r="50" spans="1:20" x14ac:dyDescent="0.25">
      <c r="B50" s="14" t="s">
        <v>119</v>
      </c>
      <c r="C50" s="14" t="s">
        <v>116</v>
      </c>
      <c r="D50" s="14"/>
      <c r="E50" s="19">
        <v>8</v>
      </c>
      <c r="F50" s="63" t="s">
        <v>119</v>
      </c>
      <c r="G50" s="59">
        <v>156.5</v>
      </c>
      <c r="H50" s="59">
        <v>331</v>
      </c>
      <c r="I50" s="60">
        <f t="shared" ref="I50:I53" si="26">(H50-G50)/H50</f>
        <v>0.52719033232628398</v>
      </c>
      <c r="J50" s="59">
        <f t="shared" ref="J50:J53" si="27">G50</f>
        <v>156.5</v>
      </c>
      <c r="K50" s="59">
        <f t="shared" ref="K50:K53" si="28">G50*1.05</f>
        <v>164.32500000000002</v>
      </c>
      <c r="L50" s="81">
        <f t="shared" ref="L50:L53" si="29">E50*G50</f>
        <v>1252</v>
      </c>
      <c r="M50" s="59">
        <f t="shared" ref="M50:M53" si="30">K50*E50</f>
        <v>1314.6000000000001</v>
      </c>
      <c r="N50" s="58"/>
      <c r="O50" s="58"/>
      <c r="P50" s="59">
        <f t="shared" ref="P50:P53" si="31">L50</f>
        <v>1252</v>
      </c>
      <c r="Q50" s="59">
        <f>P50</f>
        <v>1252</v>
      </c>
      <c r="R50" s="87">
        <f t="shared" ref="R50:T50" si="32">Q50</f>
        <v>1252</v>
      </c>
      <c r="S50" s="87">
        <f t="shared" si="32"/>
        <v>1252</v>
      </c>
      <c r="T50" s="87">
        <f t="shared" si="32"/>
        <v>1252</v>
      </c>
    </row>
    <row r="51" spans="1:20" x14ac:dyDescent="0.25">
      <c r="B51" s="14" t="s">
        <v>120</v>
      </c>
      <c r="C51" s="40" t="s">
        <v>117</v>
      </c>
      <c r="D51" s="14"/>
      <c r="E51" s="19">
        <v>1</v>
      </c>
      <c r="F51" s="63" t="s">
        <v>120</v>
      </c>
      <c r="G51" s="59">
        <v>542.9</v>
      </c>
      <c r="H51" s="59">
        <v>1086</v>
      </c>
      <c r="I51" s="60">
        <f t="shared" si="26"/>
        <v>0.50009208103130753</v>
      </c>
      <c r="J51" s="59">
        <f t="shared" si="27"/>
        <v>542.9</v>
      </c>
      <c r="K51" s="59">
        <f t="shared" si="28"/>
        <v>570.04499999999996</v>
      </c>
      <c r="L51" s="81">
        <f t="shared" si="29"/>
        <v>542.9</v>
      </c>
      <c r="M51" s="59">
        <f t="shared" si="30"/>
        <v>570.04499999999996</v>
      </c>
      <c r="N51" s="58"/>
      <c r="O51" s="58"/>
      <c r="P51" s="59">
        <f t="shared" si="31"/>
        <v>542.9</v>
      </c>
      <c r="Q51" s="59">
        <f t="shared" ref="Q51:T53" si="33">P51</f>
        <v>542.9</v>
      </c>
      <c r="R51" s="87">
        <f t="shared" si="33"/>
        <v>542.9</v>
      </c>
      <c r="S51" s="87">
        <f t="shared" si="33"/>
        <v>542.9</v>
      </c>
      <c r="T51" s="87">
        <f t="shared" si="33"/>
        <v>542.9</v>
      </c>
    </row>
    <row r="52" spans="1:20" x14ac:dyDescent="0.25">
      <c r="B52" s="15" t="s">
        <v>121</v>
      </c>
      <c r="C52" s="15" t="s">
        <v>118</v>
      </c>
      <c r="D52" s="40"/>
      <c r="E52" s="20">
        <v>2</v>
      </c>
      <c r="F52" s="63" t="s">
        <v>121</v>
      </c>
      <c r="G52" s="59">
        <v>152.52000000000001</v>
      </c>
      <c r="H52" s="59">
        <v>305.04000000000002</v>
      </c>
      <c r="I52" s="60">
        <f t="shared" si="26"/>
        <v>0.5</v>
      </c>
      <c r="J52" s="59">
        <f t="shared" si="27"/>
        <v>152.52000000000001</v>
      </c>
      <c r="K52" s="59">
        <f t="shared" si="28"/>
        <v>160.14600000000002</v>
      </c>
      <c r="L52" s="81">
        <f t="shared" si="29"/>
        <v>305.04000000000002</v>
      </c>
      <c r="M52" s="59">
        <f t="shared" si="30"/>
        <v>320.29200000000003</v>
      </c>
      <c r="N52" s="58"/>
      <c r="O52" s="58"/>
      <c r="P52" s="59">
        <f t="shared" si="31"/>
        <v>305.04000000000002</v>
      </c>
      <c r="Q52" s="59">
        <f t="shared" si="33"/>
        <v>305.04000000000002</v>
      </c>
      <c r="R52" s="87">
        <f t="shared" si="33"/>
        <v>305.04000000000002</v>
      </c>
      <c r="S52" s="87">
        <f t="shared" si="33"/>
        <v>305.04000000000002</v>
      </c>
      <c r="T52" s="87">
        <f t="shared" si="33"/>
        <v>305.04000000000002</v>
      </c>
    </row>
    <row r="53" spans="1:20" ht="15.75" thickBot="1" x14ac:dyDescent="0.3">
      <c r="B53" s="12" t="s">
        <v>142</v>
      </c>
      <c r="C53" s="11" t="s">
        <v>115</v>
      </c>
      <c r="D53" s="47"/>
      <c r="E53" s="49">
        <v>30</v>
      </c>
      <c r="F53" s="64" t="s">
        <v>142</v>
      </c>
      <c r="G53" s="59">
        <v>12.17</v>
      </c>
      <c r="H53" s="59">
        <v>24.98</v>
      </c>
      <c r="I53" s="60">
        <f t="shared" si="26"/>
        <v>0.5128102481985588</v>
      </c>
      <c r="J53" s="59">
        <f t="shared" si="27"/>
        <v>12.17</v>
      </c>
      <c r="K53" s="59">
        <f t="shared" si="28"/>
        <v>12.778500000000001</v>
      </c>
      <c r="L53" s="81">
        <f t="shared" si="29"/>
        <v>365.1</v>
      </c>
      <c r="M53" s="59">
        <f t="shared" si="30"/>
        <v>383.35500000000002</v>
      </c>
      <c r="N53" s="58"/>
      <c r="O53" s="58"/>
      <c r="P53" s="59">
        <f t="shared" si="31"/>
        <v>365.1</v>
      </c>
      <c r="Q53" s="59">
        <f t="shared" si="33"/>
        <v>365.1</v>
      </c>
      <c r="R53" s="87">
        <f t="shared" si="33"/>
        <v>365.1</v>
      </c>
      <c r="S53" s="87">
        <f t="shared" si="33"/>
        <v>365.1</v>
      </c>
      <c r="T53" s="87">
        <f t="shared" si="33"/>
        <v>365.1</v>
      </c>
    </row>
    <row r="54" spans="1:20" ht="15.75" thickBot="1" x14ac:dyDescent="0.3">
      <c r="B54" s="175" t="s">
        <v>51</v>
      </c>
      <c r="C54" s="176"/>
      <c r="D54" s="46"/>
      <c r="E54" s="48"/>
      <c r="J54" s="59"/>
      <c r="K54" s="59"/>
      <c r="N54" s="58"/>
      <c r="O54" s="58"/>
    </row>
    <row r="55" spans="1:20" x14ac:dyDescent="0.25">
      <c r="D55" s="9"/>
      <c r="J55" s="59"/>
      <c r="K55" s="59"/>
      <c r="N55" s="58"/>
      <c r="O55" s="58"/>
    </row>
    <row r="56" spans="1:20" x14ac:dyDescent="0.25">
      <c r="D56" s="13"/>
      <c r="J56" s="59"/>
      <c r="K56" s="59"/>
      <c r="N56" s="58"/>
      <c r="O56" s="58"/>
    </row>
    <row r="57" spans="1:20" x14ac:dyDescent="0.25">
      <c r="A57" s="17" t="s">
        <v>64</v>
      </c>
      <c r="B57" s="1" t="s">
        <v>46</v>
      </c>
      <c r="C57" s="1" t="s">
        <v>47</v>
      </c>
      <c r="D57" s="1" t="s">
        <v>48</v>
      </c>
      <c r="E57" s="1" t="s">
        <v>72</v>
      </c>
      <c r="J57" s="59"/>
      <c r="K57" s="59"/>
      <c r="N57" s="58"/>
      <c r="O57" s="58"/>
    </row>
    <row r="58" spans="1:20" s="70" customFormat="1" x14ac:dyDescent="0.25">
      <c r="A58" s="17">
        <v>60</v>
      </c>
      <c r="B58" s="1"/>
      <c r="C58" s="1" t="s">
        <v>161</v>
      </c>
      <c r="D58" s="1"/>
      <c r="E58" s="1"/>
      <c r="F58" s="68"/>
      <c r="G58" s="69">
        <f>SUM(G59:G67)</f>
        <v>61038.32</v>
      </c>
      <c r="H58" s="69">
        <f>SUM(H59:H67)</f>
        <v>72049.099999999977</v>
      </c>
      <c r="J58" s="69">
        <f>SUM(J59:J67)</f>
        <v>61038.32</v>
      </c>
      <c r="K58" s="69">
        <f>SUM(K59:K67)</f>
        <v>73833.171999999991</v>
      </c>
      <c r="L58" s="69">
        <f t="shared" ref="L58:M58" si="34">SUM(L59:L67)</f>
        <v>62210.000000000007</v>
      </c>
      <c r="M58" s="69">
        <f t="shared" si="34"/>
        <v>75214.059999999983</v>
      </c>
      <c r="N58" s="79">
        <f>-PV($N$2,A58,M58/A58)</f>
        <v>73876.93417963016</v>
      </c>
      <c r="O58" s="79">
        <f>ROUND(N58/A58,0)</f>
        <v>1231</v>
      </c>
      <c r="P58" s="69"/>
      <c r="Q58" s="69"/>
    </row>
    <row r="59" spans="1:20" x14ac:dyDescent="0.25">
      <c r="B59" s="95">
        <v>4745922001</v>
      </c>
      <c r="C59" s="95" t="s">
        <v>62</v>
      </c>
      <c r="D59" s="92"/>
      <c r="E59" s="89">
        <v>1</v>
      </c>
      <c r="F59" s="63">
        <v>4745922001</v>
      </c>
      <c r="G59" s="59">
        <v>46078</v>
      </c>
      <c r="H59" s="59">
        <v>55607.040000000001</v>
      </c>
      <c r="I59" s="60">
        <f t="shared" ref="I59:I63" si="35">(H59-G59)/H59</f>
        <v>0.17136391363395714</v>
      </c>
      <c r="J59" s="59">
        <f t="shared" ref="J59:J63" si="36">G59</f>
        <v>46078</v>
      </c>
      <c r="K59" s="59">
        <f t="shared" ref="K59:K63" si="37">G59*(1+$K$2)</f>
        <v>55754.38</v>
      </c>
      <c r="L59" s="81">
        <f t="shared" ref="L59:L63" si="38">E59*G59</f>
        <v>46078</v>
      </c>
      <c r="M59" s="59">
        <f t="shared" ref="M59:M63" si="39">K59*E59</f>
        <v>55754.38</v>
      </c>
      <c r="N59" s="58"/>
      <c r="O59" s="58"/>
      <c r="P59" s="81">
        <f>G59/$A$58*12</f>
        <v>9215.6</v>
      </c>
      <c r="Q59" s="59">
        <f t="shared" ref="Q59:Q61" si="40">P59</f>
        <v>9215.6</v>
      </c>
      <c r="R59" s="87">
        <f t="shared" ref="R59:T61" si="41">Q59</f>
        <v>9215.6</v>
      </c>
      <c r="S59" s="65">
        <f t="shared" si="41"/>
        <v>9215.6</v>
      </c>
      <c r="T59" s="65">
        <f t="shared" si="41"/>
        <v>9215.6</v>
      </c>
    </row>
    <row r="60" spans="1:20" x14ac:dyDescent="0.25">
      <c r="B60" s="95">
        <v>4885783001</v>
      </c>
      <c r="C60" s="95" t="s">
        <v>68</v>
      </c>
      <c r="D60" s="92"/>
      <c r="E60" s="89">
        <v>1</v>
      </c>
      <c r="F60" s="63">
        <v>4885783001</v>
      </c>
      <c r="G60" s="59">
        <v>4659</v>
      </c>
      <c r="H60" s="59">
        <v>5213.16</v>
      </c>
      <c r="I60" s="60">
        <f t="shared" si="35"/>
        <v>0.10630020946988004</v>
      </c>
      <c r="J60" s="59">
        <f t="shared" si="36"/>
        <v>4659</v>
      </c>
      <c r="K60" s="59">
        <f t="shared" si="37"/>
        <v>5637.3899999999994</v>
      </c>
      <c r="L60" s="81">
        <f t="shared" si="38"/>
        <v>4659</v>
      </c>
      <c r="M60" s="59">
        <f t="shared" si="39"/>
        <v>5637.3899999999994</v>
      </c>
      <c r="N60" s="58"/>
      <c r="O60" s="58"/>
      <c r="P60" s="81">
        <f t="shared" ref="P60:P61" si="42">G60/$A$58*12</f>
        <v>931.80000000000007</v>
      </c>
      <c r="Q60" s="59">
        <f t="shared" si="40"/>
        <v>931.80000000000007</v>
      </c>
      <c r="R60" s="87">
        <f t="shared" si="41"/>
        <v>931.80000000000007</v>
      </c>
      <c r="S60" s="65">
        <f t="shared" si="41"/>
        <v>931.80000000000007</v>
      </c>
      <c r="T60" s="65">
        <f t="shared" si="41"/>
        <v>931.80000000000007</v>
      </c>
    </row>
    <row r="61" spans="1:20" x14ac:dyDescent="0.25">
      <c r="B61" s="95">
        <v>4745876001</v>
      </c>
      <c r="C61" s="95" t="s">
        <v>96</v>
      </c>
      <c r="D61" s="92"/>
      <c r="E61" s="89">
        <v>1</v>
      </c>
      <c r="F61" s="63">
        <v>4745876001</v>
      </c>
      <c r="G61" s="59">
        <v>9067</v>
      </c>
      <c r="H61" s="59">
        <v>9470.57</v>
      </c>
      <c r="I61" s="60">
        <f t="shared" si="35"/>
        <v>4.2613063416457479E-2</v>
      </c>
      <c r="J61" s="59">
        <f t="shared" si="36"/>
        <v>9067</v>
      </c>
      <c r="K61" s="59">
        <f t="shared" si="37"/>
        <v>10971.07</v>
      </c>
      <c r="L61" s="81">
        <f t="shared" si="38"/>
        <v>9067</v>
      </c>
      <c r="M61" s="59">
        <f t="shared" si="39"/>
        <v>10971.07</v>
      </c>
      <c r="N61" s="58"/>
      <c r="O61" s="58"/>
      <c r="P61" s="81">
        <f t="shared" si="42"/>
        <v>1813.4</v>
      </c>
      <c r="Q61" s="59">
        <f t="shared" si="40"/>
        <v>1813.4</v>
      </c>
      <c r="R61" s="87">
        <f t="shared" si="41"/>
        <v>1813.4</v>
      </c>
      <c r="S61" s="65">
        <f t="shared" si="41"/>
        <v>1813.4</v>
      </c>
      <c r="T61" s="65">
        <f t="shared" si="41"/>
        <v>1813.4</v>
      </c>
    </row>
    <row r="62" spans="1:20" x14ac:dyDescent="0.25">
      <c r="B62" s="14">
        <v>5151643001</v>
      </c>
      <c r="C62" s="14" t="s">
        <v>63</v>
      </c>
      <c r="D62" s="4"/>
      <c r="E62" s="19">
        <v>2</v>
      </c>
      <c r="F62" s="63">
        <v>5151643001</v>
      </c>
      <c r="G62" s="59">
        <v>941.4</v>
      </c>
      <c r="H62" s="59">
        <v>1347.97</v>
      </c>
      <c r="I62" s="60">
        <f t="shared" si="35"/>
        <v>0.3016165048183565</v>
      </c>
      <c r="J62" s="59">
        <f t="shared" si="36"/>
        <v>941.4</v>
      </c>
      <c r="K62" s="59">
        <f t="shared" si="37"/>
        <v>1139.0940000000001</v>
      </c>
      <c r="L62" s="81">
        <f t="shared" si="38"/>
        <v>1882.8</v>
      </c>
      <c r="M62" s="59">
        <f t="shared" si="39"/>
        <v>2278.1880000000001</v>
      </c>
      <c r="N62" s="58"/>
      <c r="O62" s="58"/>
      <c r="P62" s="59">
        <f>L62/$A$4*12</f>
        <v>627.59999999999991</v>
      </c>
      <c r="Q62" s="59">
        <f>P62</f>
        <v>627.59999999999991</v>
      </c>
      <c r="R62" s="65">
        <f>Q62</f>
        <v>627.59999999999991</v>
      </c>
      <c r="S62" s="59">
        <v>0</v>
      </c>
      <c r="T62" s="59">
        <v>0</v>
      </c>
    </row>
    <row r="63" spans="1:20" x14ac:dyDescent="0.25">
      <c r="B63" s="14">
        <v>5551471001</v>
      </c>
      <c r="C63" s="14" t="s">
        <v>74</v>
      </c>
      <c r="D63" s="4"/>
      <c r="E63" s="14">
        <v>1</v>
      </c>
      <c r="F63" s="63">
        <v>5551471001</v>
      </c>
      <c r="G63" s="59">
        <v>147.94999999999999</v>
      </c>
      <c r="H63" s="59">
        <v>202.73</v>
      </c>
      <c r="I63" s="60">
        <f t="shared" si="35"/>
        <v>0.27021161150298428</v>
      </c>
      <c r="J63" s="59">
        <f t="shared" si="36"/>
        <v>147.94999999999999</v>
      </c>
      <c r="K63" s="59">
        <f t="shared" si="37"/>
        <v>179.01949999999999</v>
      </c>
      <c r="L63" s="81">
        <f t="shared" si="38"/>
        <v>147.94999999999999</v>
      </c>
      <c r="M63" s="59">
        <f t="shared" si="39"/>
        <v>179.01949999999999</v>
      </c>
      <c r="N63" s="58"/>
      <c r="O63" s="58"/>
      <c r="P63" s="59">
        <f>L63/$A$4*12</f>
        <v>49.316666666666663</v>
      </c>
      <c r="Q63" s="59">
        <f>P63</f>
        <v>49.316666666666663</v>
      </c>
      <c r="R63" s="65">
        <f>Q63</f>
        <v>49.316666666666663</v>
      </c>
      <c r="S63" s="59">
        <v>0</v>
      </c>
      <c r="T63" s="59">
        <v>0</v>
      </c>
    </row>
    <row r="64" spans="1:20" x14ac:dyDescent="0.25">
      <c r="B64" s="42"/>
      <c r="C64" s="51" t="s">
        <v>97</v>
      </c>
      <c r="D64" s="42"/>
      <c r="E64" s="44"/>
      <c r="J64" s="59"/>
      <c r="K64" s="59"/>
      <c r="N64" s="58"/>
      <c r="O64" s="58"/>
    </row>
    <row r="65" spans="1:20" x14ac:dyDescent="0.25">
      <c r="B65" s="14" t="s">
        <v>124</v>
      </c>
      <c r="C65" s="14" t="s">
        <v>122</v>
      </c>
      <c r="D65" s="4"/>
      <c r="E65" s="14">
        <v>1</v>
      </c>
      <c r="F65" s="63" t="s">
        <v>124</v>
      </c>
      <c r="G65" s="59">
        <v>72.900000000000006</v>
      </c>
      <c r="H65" s="59">
        <v>100.23</v>
      </c>
      <c r="I65" s="60">
        <f t="shared" ref="I65:I67" si="43">(H65-G65)/H65</f>
        <v>0.27267285243938938</v>
      </c>
      <c r="J65" s="59">
        <f t="shared" ref="J65:J67" si="44">G65</f>
        <v>72.900000000000006</v>
      </c>
      <c r="K65" s="59">
        <f t="shared" ref="K65:K67" si="45">G65*1.05</f>
        <v>76.545000000000016</v>
      </c>
      <c r="L65" s="81">
        <f t="shared" ref="L65:L67" si="46">E65*G65</f>
        <v>72.900000000000006</v>
      </c>
      <c r="M65" s="59">
        <f t="shared" ref="M65:M67" si="47">K65*E65</f>
        <v>76.545000000000016</v>
      </c>
      <c r="N65" s="58"/>
      <c r="O65" s="58"/>
      <c r="P65" s="59">
        <f>L65</f>
        <v>72.900000000000006</v>
      </c>
      <c r="Q65" s="59">
        <f t="shared" ref="Q65:T67" si="48">P65</f>
        <v>72.900000000000006</v>
      </c>
      <c r="R65" s="87">
        <f t="shared" si="48"/>
        <v>72.900000000000006</v>
      </c>
      <c r="S65" s="87">
        <f t="shared" si="48"/>
        <v>72.900000000000006</v>
      </c>
      <c r="T65" s="87">
        <f t="shared" si="48"/>
        <v>72.900000000000006</v>
      </c>
    </row>
    <row r="66" spans="1:20" x14ac:dyDescent="0.25">
      <c r="B66" s="14">
        <v>3060039001</v>
      </c>
      <c r="C66" s="14" t="s">
        <v>123</v>
      </c>
      <c r="D66" s="4"/>
      <c r="E66" s="14">
        <v>2</v>
      </c>
      <c r="F66" s="63">
        <v>3060039001</v>
      </c>
      <c r="G66" s="59">
        <v>59.9</v>
      </c>
      <c r="H66" s="59">
        <v>82.42</v>
      </c>
      <c r="I66" s="60">
        <f t="shared" si="43"/>
        <v>0.27323465178354772</v>
      </c>
      <c r="J66" s="59">
        <f t="shared" si="44"/>
        <v>59.9</v>
      </c>
      <c r="K66" s="59">
        <f t="shared" si="45"/>
        <v>62.895000000000003</v>
      </c>
      <c r="L66" s="81">
        <f t="shared" si="46"/>
        <v>119.8</v>
      </c>
      <c r="M66" s="59">
        <f t="shared" si="47"/>
        <v>125.79</v>
      </c>
      <c r="N66" s="58"/>
      <c r="O66" s="58"/>
      <c r="P66" s="59">
        <f>L66</f>
        <v>119.8</v>
      </c>
      <c r="Q66" s="59">
        <f t="shared" si="48"/>
        <v>119.8</v>
      </c>
      <c r="R66" s="87">
        <f t="shared" si="48"/>
        <v>119.8</v>
      </c>
      <c r="S66" s="87">
        <f t="shared" si="48"/>
        <v>119.8</v>
      </c>
      <c r="T66" s="87">
        <f t="shared" si="48"/>
        <v>119.8</v>
      </c>
    </row>
    <row r="67" spans="1:20" ht="15.75" thickBot="1" x14ac:dyDescent="0.3">
      <c r="B67" s="12" t="s">
        <v>142</v>
      </c>
      <c r="C67" s="11" t="s">
        <v>115</v>
      </c>
      <c r="D67" s="32"/>
      <c r="E67" s="14">
        <v>15</v>
      </c>
      <c r="F67" s="63" t="s">
        <v>142</v>
      </c>
      <c r="G67" s="59">
        <v>12.17</v>
      </c>
      <c r="H67" s="59">
        <v>24.98</v>
      </c>
      <c r="I67" s="60">
        <f t="shared" si="43"/>
        <v>0.5128102481985588</v>
      </c>
      <c r="J67" s="59">
        <f t="shared" si="44"/>
        <v>12.17</v>
      </c>
      <c r="K67" s="59">
        <f t="shared" si="45"/>
        <v>12.778500000000001</v>
      </c>
      <c r="L67" s="81">
        <f t="shared" si="46"/>
        <v>182.55</v>
      </c>
      <c r="M67" s="59">
        <f t="shared" si="47"/>
        <v>191.67750000000001</v>
      </c>
      <c r="N67" s="58"/>
      <c r="O67" s="58"/>
      <c r="P67" s="59">
        <f>L67</f>
        <v>182.55</v>
      </c>
      <c r="Q67" s="59">
        <f t="shared" si="48"/>
        <v>182.55</v>
      </c>
      <c r="R67" s="87">
        <f t="shared" si="48"/>
        <v>182.55</v>
      </c>
      <c r="S67" s="87">
        <f t="shared" si="48"/>
        <v>182.55</v>
      </c>
      <c r="T67" s="87">
        <f t="shared" si="48"/>
        <v>182.55</v>
      </c>
    </row>
    <row r="68" spans="1:20" ht="15.75" thickBot="1" x14ac:dyDescent="0.3">
      <c r="B68" s="175" t="s">
        <v>51</v>
      </c>
      <c r="C68" s="176"/>
      <c r="D68" s="46"/>
      <c r="J68" s="59"/>
      <c r="K68" s="59"/>
      <c r="N68" s="58"/>
      <c r="O68" s="58"/>
    </row>
    <row r="69" spans="1:20" x14ac:dyDescent="0.25">
      <c r="B69" s="28"/>
      <c r="C69" s="29"/>
      <c r="D69" s="13"/>
      <c r="J69" s="59"/>
      <c r="K69" s="59"/>
      <c r="N69" s="58"/>
      <c r="O69" s="58"/>
    </row>
    <row r="70" spans="1:20" x14ac:dyDescent="0.25">
      <c r="J70" s="59"/>
      <c r="K70" s="59"/>
      <c r="N70" s="58"/>
      <c r="O70" s="58"/>
    </row>
    <row r="71" spans="1:20" x14ac:dyDescent="0.25">
      <c r="A71" s="17" t="s">
        <v>65</v>
      </c>
      <c r="B71" s="1" t="s">
        <v>46</v>
      </c>
      <c r="C71" s="1" t="s">
        <v>47</v>
      </c>
      <c r="D71" s="1" t="s">
        <v>48</v>
      </c>
      <c r="E71" s="1" t="s">
        <v>72</v>
      </c>
      <c r="J71" s="59"/>
      <c r="K71" s="59"/>
      <c r="N71" s="58"/>
      <c r="O71" s="58"/>
    </row>
    <row r="72" spans="1:20" s="70" customFormat="1" x14ac:dyDescent="0.25">
      <c r="A72" s="17">
        <v>60</v>
      </c>
      <c r="B72" s="1"/>
      <c r="C72" s="1" t="s">
        <v>161</v>
      </c>
      <c r="D72" s="1"/>
      <c r="E72" s="1"/>
      <c r="F72" s="68"/>
      <c r="G72" s="69">
        <f>SUM(G73:G82)</f>
        <v>62830.039999999994</v>
      </c>
      <c r="H72" s="69">
        <f>SUM(H73:H82)</f>
        <v>76697.819999999992</v>
      </c>
      <c r="J72" s="69">
        <f>SUM(J73:J82)</f>
        <v>62830.039999999994</v>
      </c>
      <c r="K72" s="69">
        <f>SUM(K73:K82)</f>
        <v>75886.093999999983</v>
      </c>
      <c r="L72" s="69">
        <f t="shared" ref="L72:M72" si="49">SUM(L73:L82)</f>
        <v>64430.99</v>
      </c>
      <c r="M72" s="69">
        <f t="shared" si="49"/>
        <v>77567.091499999995</v>
      </c>
      <c r="N72" s="79">
        <f>-PV($N$2,A72,M72/A72)</f>
        <v>76188.134415970257</v>
      </c>
      <c r="O72" s="79">
        <f>ROUND(N72/A72,0)</f>
        <v>1270</v>
      </c>
      <c r="P72" s="69"/>
      <c r="Q72" s="69"/>
    </row>
    <row r="73" spans="1:20" x14ac:dyDescent="0.25">
      <c r="B73" s="95">
        <v>4745868001</v>
      </c>
      <c r="C73" s="95" t="s">
        <v>54</v>
      </c>
      <c r="D73" s="95"/>
      <c r="E73" s="89">
        <v>1</v>
      </c>
      <c r="F73" s="63">
        <v>4745868001</v>
      </c>
      <c r="G73" s="59">
        <v>18365</v>
      </c>
      <c r="H73" s="59">
        <v>20997.45</v>
      </c>
      <c r="I73" s="60">
        <f t="shared" ref="I73:I77" si="50">(H73-G73)/H73</f>
        <v>0.12536998540298944</v>
      </c>
      <c r="J73" s="59">
        <f t="shared" ref="J73:J77" si="51">G73</f>
        <v>18365</v>
      </c>
      <c r="K73" s="59">
        <f t="shared" ref="K73:K77" si="52">G73*(1+$K$2)</f>
        <v>22221.649999999998</v>
      </c>
      <c r="L73" s="81">
        <f t="shared" ref="L73:L77" si="53">E73*G73</f>
        <v>18365</v>
      </c>
      <c r="M73" s="59">
        <f t="shared" ref="M73:M77" si="54">K73*E73</f>
        <v>22221.649999999998</v>
      </c>
      <c r="N73" s="58"/>
      <c r="O73" s="58"/>
      <c r="P73" s="81">
        <f>G73/$A$72*12</f>
        <v>3673</v>
      </c>
      <c r="Q73" s="59">
        <f t="shared" ref="Q73:T74" si="55">P73</f>
        <v>3673</v>
      </c>
      <c r="R73" s="59">
        <f t="shared" si="55"/>
        <v>3673</v>
      </c>
      <c r="S73" s="59">
        <f t="shared" si="55"/>
        <v>3673</v>
      </c>
      <c r="T73" s="59">
        <f t="shared" si="55"/>
        <v>3673</v>
      </c>
    </row>
    <row r="74" spans="1:20" x14ac:dyDescent="0.25">
      <c r="B74" s="95">
        <v>4745914001</v>
      </c>
      <c r="C74" s="95" t="s">
        <v>55</v>
      </c>
      <c r="D74" s="95"/>
      <c r="E74" s="89">
        <v>1</v>
      </c>
      <c r="F74" s="63">
        <v>4745914001</v>
      </c>
      <c r="G74" s="59">
        <v>41177</v>
      </c>
      <c r="H74" s="59">
        <v>51436.52</v>
      </c>
      <c r="I74" s="60">
        <f t="shared" si="50"/>
        <v>0.19945983904043271</v>
      </c>
      <c r="J74" s="59">
        <f t="shared" si="51"/>
        <v>41177</v>
      </c>
      <c r="K74" s="59">
        <f t="shared" si="52"/>
        <v>49824.17</v>
      </c>
      <c r="L74" s="81">
        <f t="shared" si="53"/>
        <v>41177</v>
      </c>
      <c r="M74" s="59">
        <f t="shared" si="54"/>
        <v>49824.17</v>
      </c>
      <c r="N74" s="58"/>
      <c r="O74" s="58"/>
      <c r="P74" s="81">
        <f>G74/$A$72*12</f>
        <v>8235.4</v>
      </c>
      <c r="Q74" s="59">
        <f t="shared" si="55"/>
        <v>8235.4</v>
      </c>
      <c r="R74" s="59">
        <f t="shared" si="55"/>
        <v>8235.4</v>
      </c>
      <c r="S74" s="59">
        <f t="shared" si="55"/>
        <v>8235.4</v>
      </c>
      <c r="T74" s="59">
        <f t="shared" si="55"/>
        <v>8235.4</v>
      </c>
    </row>
    <row r="75" spans="1:20" x14ac:dyDescent="0.25">
      <c r="B75" s="15">
        <v>4433297001</v>
      </c>
      <c r="C75" s="15" t="s">
        <v>56</v>
      </c>
      <c r="D75" s="15"/>
      <c r="E75" s="20">
        <v>1</v>
      </c>
      <c r="F75" s="63">
        <v>4433297001</v>
      </c>
      <c r="G75" s="59">
        <v>1026</v>
      </c>
      <c r="H75" s="59">
        <v>1448.1</v>
      </c>
      <c r="I75" s="60">
        <f t="shared" si="50"/>
        <v>0.29148539465506523</v>
      </c>
      <c r="J75" s="59">
        <f t="shared" si="51"/>
        <v>1026</v>
      </c>
      <c r="K75" s="59">
        <f t="shared" si="52"/>
        <v>1241.46</v>
      </c>
      <c r="L75" s="81">
        <f t="shared" si="53"/>
        <v>1026</v>
      </c>
      <c r="M75" s="59">
        <f t="shared" si="54"/>
        <v>1241.46</v>
      </c>
      <c r="N75" s="58"/>
      <c r="O75" s="58"/>
      <c r="P75" s="59">
        <f>L75/$A$4*12</f>
        <v>342</v>
      </c>
      <c r="Q75" s="59">
        <f t="shared" ref="Q75:R77" si="56">P75</f>
        <v>342</v>
      </c>
      <c r="R75" s="65">
        <f t="shared" si="56"/>
        <v>342</v>
      </c>
      <c r="S75" s="59">
        <v>0</v>
      </c>
      <c r="T75" s="59">
        <v>0</v>
      </c>
    </row>
    <row r="76" spans="1:20" x14ac:dyDescent="0.25">
      <c r="B76" s="57" t="s">
        <v>149</v>
      </c>
      <c r="C76" s="14" t="s">
        <v>75</v>
      </c>
      <c r="D76" s="14"/>
      <c r="E76" s="19">
        <v>1</v>
      </c>
      <c r="F76" s="63" t="s">
        <v>149</v>
      </c>
      <c r="G76" s="59">
        <v>1250</v>
      </c>
      <c r="H76" s="59">
        <v>866</v>
      </c>
      <c r="I76" s="60">
        <f t="shared" si="50"/>
        <v>-0.44341801385681295</v>
      </c>
      <c r="J76" s="59">
        <f t="shared" si="51"/>
        <v>1250</v>
      </c>
      <c r="K76" s="59">
        <f t="shared" si="52"/>
        <v>1512.5</v>
      </c>
      <c r="L76" s="81">
        <f t="shared" si="53"/>
        <v>1250</v>
      </c>
      <c r="M76" s="59">
        <f t="shared" si="54"/>
        <v>1512.5</v>
      </c>
      <c r="N76" s="58"/>
      <c r="O76" s="58"/>
      <c r="P76" s="59">
        <f>L76/$A$4*12</f>
        <v>416.66666666666663</v>
      </c>
      <c r="Q76" s="59">
        <f t="shared" si="56"/>
        <v>416.66666666666663</v>
      </c>
      <c r="R76" s="65">
        <f t="shared" si="56"/>
        <v>416.66666666666663</v>
      </c>
      <c r="S76" s="59">
        <v>0</v>
      </c>
      <c r="T76" s="59">
        <v>0</v>
      </c>
    </row>
    <row r="77" spans="1:20" x14ac:dyDescent="0.25">
      <c r="B77" s="14">
        <v>5551471001</v>
      </c>
      <c r="C77" s="14" t="s">
        <v>74</v>
      </c>
      <c r="D77" s="4"/>
      <c r="E77" s="19">
        <v>1</v>
      </c>
      <c r="F77" s="63">
        <v>5551471001</v>
      </c>
      <c r="G77" s="59">
        <v>147.94999999999999</v>
      </c>
      <c r="H77" s="59">
        <v>202.73</v>
      </c>
      <c r="I77" s="60">
        <f t="shared" si="50"/>
        <v>0.27021161150298428</v>
      </c>
      <c r="J77" s="59">
        <f t="shared" si="51"/>
        <v>147.94999999999999</v>
      </c>
      <c r="K77" s="59">
        <f t="shared" si="52"/>
        <v>179.01949999999999</v>
      </c>
      <c r="L77" s="81">
        <f t="shared" si="53"/>
        <v>147.94999999999999</v>
      </c>
      <c r="M77" s="59">
        <f t="shared" si="54"/>
        <v>179.01949999999999</v>
      </c>
      <c r="N77" s="58"/>
      <c r="O77" s="58"/>
      <c r="P77" s="59">
        <f>L77/$A$4*12</f>
        <v>49.316666666666663</v>
      </c>
      <c r="Q77" s="59">
        <f t="shared" si="56"/>
        <v>49.316666666666663</v>
      </c>
      <c r="R77" s="65">
        <f t="shared" si="56"/>
        <v>49.316666666666663</v>
      </c>
      <c r="S77" s="59">
        <v>0</v>
      </c>
      <c r="T77" s="59">
        <v>0</v>
      </c>
    </row>
    <row r="78" spans="1:20" x14ac:dyDescent="0.25">
      <c r="B78" s="42"/>
      <c r="C78" s="51" t="s">
        <v>97</v>
      </c>
      <c r="D78" s="42"/>
      <c r="E78" s="44"/>
      <c r="J78" s="59"/>
      <c r="K78" s="59"/>
      <c r="N78" s="58"/>
      <c r="O78" s="58"/>
    </row>
    <row r="79" spans="1:20" x14ac:dyDescent="0.25">
      <c r="B79" s="14" t="s">
        <v>119</v>
      </c>
      <c r="C79" s="14" t="s">
        <v>116</v>
      </c>
      <c r="D79" s="14"/>
      <c r="E79" s="19">
        <v>8</v>
      </c>
      <c r="F79" s="63" t="s">
        <v>119</v>
      </c>
      <c r="G79" s="59">
        <v>156.5</v>
      </c>
      <c r="H79" s="59">
        <v>331</v>
      </c>
      <c r="I79" s="60">
        <f t="shared" ref="I79:I82" si="57">(H79-G79)/H79</f>
        <v>0.52719033232628398</v>
      </c>
      <c r="J79" s="59">
        <f t="shared" ref="J79:J82" si="58">G79</f>
        <v>156.5</v>
      </c>
      <c r="K79" s="59">
        <f t="shared" ref="K79:K82" si="59">G79*1.05</f>
        <v>164.32500000000002</v>
      </c>
      <c r="L79" s="81">
        <f t="shared" ref="L79:L82" si="60">E79*G79</f>
        <v>1252</v>
      </c>
      <c r="M79" s="59">
        <f t="shared" ref="M79:M82" si="61">K79*E79</f>
        <v>1314.6000000000001</v>
      </c>
      <c r="N79" s="58"/>
      <c r="O79" s="58"/>
      <c r="P79" s="59">
        <f t="shared" ref="P79:P82" si="62">L79</f>
        <v>1252</v>
      </c>
      <c r="Q79" s="59">
        <f t="shared" ref="Q79:T82" si="63">P79</f>
        <v>1252</v>
      </c>
      <c r="R79" s="87">
        <f t="shared" si="63"/>
        <v>1252</v>
      </c>
      <c r="S79" s="87">
        <f t="shared" si="63"/>
        <v>1252</v>
      </c>
      <c r="T79" s="87">
        <f t="shared" si="63"/>
        <v>1252</v>
      </c>
    </row>
    <row r="80" spans="1:20" x14ac:dyDescent="0.25">
      <c r="B80" s="14" t="s">
        <v>120</v>
      </c>
      <c r="C80" s="40" t="s">
        <v>117</v>
      </c>
      <c r="D80" s="14"/>
      <c r="E80" s="19">
        <v>1</v>
      </c>
      <c r="F80" s="63" t="s">
        <v>120</v>
      </c>
      <c r="G80" s="59">
        <v>542.9</v>
      </c>
      <c r="H80" s="59">
        <v>1086</v>
      </c>
      <c r="I80" s="60">
        <f t="shared" si="57"/>
        <v>0.50009208103130753</v>
      </c>
      <c r="J80" s="59">
        <f t="shared" si="58"/>
        <v>542.9</v>
      </c>
      <c r="K80" s="59">
        <f t="shared" si="59"/>
        <v>570.04499999999996</v>
      </c>
      <c r="L80" s="81">
        <f t="shared" si="60"/>
        <v>542.9</v>
      </c>
      <c r="M80" s="59">
        <f t="shared" si="61"/>
        <v>570.04499999999996</v>
      </c>
      <c r="N80" s="58"/>
      <c r="O80" s="58"/>
      <c r="P80" s="59">
        <f t="shared" si="62"/>
        <v>542.9</v>
      </c>
      <c r="Q80" s="59">
        <f t="shared" si="63"/>
        <v>542.9</v>
      </c>
      <c r="R80" s="87">
        <f t="shared" si="63"/>
        <v>542.9</v>
      </c>
      <c r="S80" s="87">
        <f t="shared" si="63"/>
        <v>542.9</v>
      </c>
      <c r="T80" s="87">
        <f t="shared" si="63"/>
        <v>542.9</v>
      </c>
    </row>
    <row r="81" spans="1:20" x14ac:dyDescent="0.25">
      <c r="B81" s="15" t="s">
        <v>121</v>
      </c>
      <c r="C81" s="15" t="s">
        <v>118</v>
      </c>
      <c r="D81" s="40"/>
      <c r="E81" s="20">
        <v>2</v>
      </c>
      <c r="F81" s="63" t="s">
        <v>121</v>
      </c>
      <c r="G81" s="59">
        <v>152.52000000000001</v>
      </c>
      <c r="H81" s="59">
        <v>305.04000000000002</v>
      </c>
      <c r="I81" s="60">
        <f t="shared" si="57"/>
        <v>0.5</v>
      </c>
      <c r="J81" s="59">
        <f t="shared" si="58"/>
        <v>152.52000000000001</v>
      </c>
      <c r="K81" s="59">
        <f t="shared" si="59"/>
        <v>160.14600000000002</v>
      </c>
      <c r="L81" s="81">
        <f t="shared" si="60"/>
        <v>305.04000000000002</v>
      </c>
      <c r="M81" s="59">
        <f t="shared" si="61"/>
        <v>320.29200000000003</v>
      </c>
      <c r="N81" s="58"/>
      <c r="O81" s="58"/>
      <c r="P81" s="59">
        <f t="shared" si="62"/>
        <v>305.04000000000002</v>
      </c>
      <c r="Q81" s="59">
        <f t="shared" si="63"/>
        <v>305.04000000000002</v>
      </c>
      <c r="R81" s="87">
        <f t="shared" si="63"/>
        <v>305.04000000000002</v>
      </c>
      <c r="S81" s="87">
        <f t="shared" si="63"/>
        <v>305.04000000000002</v>
      </c>
      <c r="T81" s="87">
        <f t="shared" si="63"/>
        <v>305.04000000000002</v>
      </c>
    </row>
    <row r="82" spans="1:20" ht="15.75" thickBot="1" x14ac:dyDescent="0.3">
      <c r="B82" s="12" t="s">
        <v>142</v>
      </c>
      <c r="C82" s="11" t="s">
        <v>115</v>
      </c>
      <c r="D82" s="41"/>
      <c r="E82" s="52">
        <v>30</v>
      </c>
      <c r="F82" s="63" t="s">
        <v>142</v>
      </c>
      <c r="G82" s="59">
        <v>12.17</v>
      </c>
      <c r="H82" s="59">
        <v>24.98</v>
      </c>
      <c r="I82" s="60">
        <f t="shared" si="57"/>
        <v>0.5128102481985588</v>
      </c>
      <c r="J82" s="59">
        <f t="shared" si="58"/>
        <v>12.17</v>
      </c>
      <c r="K82" s="59">
        <f t="shared" si="59"/>
        <v>12.778500000000001</v>
      </c>
      <c r="L82" s="81">
        <f t="shared" si="60"/>
        <v>365.1</v>
      </c>
      <c r="M82" s="59">
        <f t="shared" si="61"/>
        <v>383.35500000000002</v>
      </c>
      <c r="N82" s="58"/>
      <c r="O82" s="58"/>
      <c r="P82" s="59">
        <f t="shared" si="62"/>
        <v>365.1</v>
      </c>
      <c r="Q82" s="59">
        <f t="shared" si="63"/>
        <v>365.1</v>
      </c>
      <c r="R82" s="87">
        <f t="shared" si="63"/>
        <v>365.1</v>
      </c>
      <c r="S82" s="87">
        <f t="shared" si="63"/>
        <v>365.1</v>
      </c>
      <c r="T82" s="87">
        <f t="shared" si="63"/>
        <v>365.1</v>
      </c>
    </row>
    <row r="83" spans="1:20" ht="15.75" thickBot="1" x14ac:dyDescent="0.3">
      <c r="B83" s="175" t="s">
        <v>51</v>
      </c>
      <c r="C83" s="176"/>
      <c r="D83" s="18"/>
      <c r="E83" s="48"/>
      <c r="J83" s="59"/>
      <c r="K83" s="59"/>
      <c r="N83" s="58"/>
      <c r="O83" s="58"/>
    </row>
    <row r="84" spans="1:20" x14ac:dyDescent="0.25">
      <c r="J84" s="59"/>
      <c r="K84" s="59"/>
      <c r="N84" s="58"/>
      <c r="O84" s="58"/>
    </row>
    <row r="85" spans="1:20" x14ac:dyDescent="0.25">
      <c r="J85" s="59"/>
      <c r="K85" s="59"/>
      <c r="N85" s="58"/>
      <c r="O85" s="58"/>
    </row>
    <row r="86" spans="1:20" x14ac:dyDescent="0.25">
      <c r="A86" s="17" t="s">
        <v>67</v>
      </c>
      <c r="B86" s="1" t="s">
        <v>46</v>
      </c>
      <c r="C86" s="1" t="s">
        <v>47</v>
      </c>
      <c r="D86" s="1" t="s">
        <v>48</v>
      </c>
      <c r="E86" s="1" t="s">
        <v>72</v>
      </c>
      <c r="J86" s="59"/>
      <c r="K86" s="59"/>
      <c r="N86" s="58"/>
      <c r="O86" s="58"/>
    </row>
    <row r="87" spans="1:20" s="70" customFormat="1" x14ac:dyDescent="0.25">
      <c r="A87" s="17">
        <v>36</v>
      </c>
      <c r="B87" s="67"/>
      <c r="C87" s="1" t="s">
        <v>161</v>
      </c>
      <c r="D87" s="1"/>
      <c r="E87" s="1"/>
      <c r="F87" s="68"/>
      <c r="G87" s="69">
        <f>SUM(G88:G108)</f>
        <v>44283.119999999995</v>
      </c>
      <c r="H87" s="69">
        <f>SUM(H88:H108)</f>
        <v>59254.464218750014</v>
      </c>
      <c r="J87" s="69">
        <f>SUM(J88:J108)</f>
        <v>44283.119999999995</v>
      </c>
      <c r="K87" s="69">
        <f>SUM(K88:K108)</f>
        <v>53582.575200000007</v>
      </c>
      <c r="L87" s="69">
        <f t="shared" ref="L87:M87" si="64">SUM(L88:L108)</f>
        <v>44634.79</v>
      </c>
      <c r="M87" s="69">
        <f t="shared" si="64"/>
        <v>54008.095900000008</v>
      </c>
      <c r="N87" s="79">
        <f>-PV($N$2,A87,M87/A87)</f>
        <v>53422.977827445975</v>
      </c>
      <c r="O87" s="79">
        <f>ROUND(N87/A87,0)</f>
        <v>1484</v>
      </c>
      <c r="P87" s="69"/>
      <c r="Q87" s="69"/>
    </row>
    <row r="88" spans="1:20" x14ac:dyDescent="0.25">
      <c r="A88" s="17"/>
      <c r="B88" s="100">
        <v>6390498001</v>
      </c>
      <c r="C88" s="100" t="s">
        <v>76</v>
      </c>
      <c r="D88" s="101"/>
      <c r="E88" s="102">
        <v>1</v>
      </c>
      <c r="F88" s="63">
        <v>6390498001</v>
      </c>
      <c r="G88" s="59">
        <v>12639</v>
      </c>
      <c r="H88" s="59">
        <v>16687.429687500004</v>
      </c>
      <c r="I88" s="60">
        <f t="shared" ref="I88:I99" si="65">(H88-G88)/H88</f>
        <v>0.24260355029585814</v>
      </c>
      <c r="J88" s="59">
        <f t="shared" ref="J88:J99" si="66">G88</f>
        <v>12639</v>
      </c>
      <c r="K88" s="59">
        <f t="shared" ref="K88:K100" si="67">G88*(1+$K$2)</f>
        <v>15293.189999999999</v>
      </c>
      <c r="L88" s="81">
        <f t="shared" ref="L88:L100" si="68">E88*G88</f>
        <v>12639</v>
      </c>
      <c r="M88" s="59">
        <f t="shared" ref="M88:M100" si="69">K88*E88</f>
        <v>15293.189999999999</v>
      </c>
      <c r="N88" s="58"/>
      <c r="O88" s="58"/>
      <c r="P88" s="81">
        <f>G88/$A$87*12</f>
        <v>4213</v>
      </c>
      <c r="Q88" s="59">
        <f t="shared" ref="Q88:T88" si="70">P88</f>
        <v>4213</v>
      </c>
      <c r="R88" s="59">
        <f t="shared" si="70"/>
        <v>4213</v>
      </c>
      <c r="S88" s="59">
        <f t="shared" si="70"/>
        <v>4213</v>
      </c>
      <c r="T88" s="59">
        <f t="shared" si="70"/>
        <v>4213</v>
      </c>
    </row>
    <row r="89" spans="1:20" x14ac:dyDescent="0.25">
      <c r="A89" s="17"/>
      <c r="B89" s="19">
        <v>6390510001</v>
      </c>
      <c r="C89" s="19" t="s">
        <v>77</v>
      </c>
      <c r="D89" s="23"/>
      <c r="E89" s="27">
        <v>1</v>
      </c>
      <c r="F89" s="63">
        <v>6390510001</v>
      </c>
      <c r="G89" s="59">
        <v>1485</v>
      </c>
      <c r="H89" s="59">
        <v>1960.6640625000002</v>
      </c>
      <c r="I89" s="60">
        <f t="shared" si="65"/>
        <v>0.24260355029585809</v>
      </c>
      <c r="J89" s="59">
        <f t="shared" si="66"/>
        <v>1485</v>
      </c>
      <c r="K89" s="59">
        <f t="shared" si="67"/>
        <v>1796.85</v>
      </c>
      <c r="L89" s="81">
        <f t="shared" si="68"/>
        <v>1485</v>
      </c>
      <c r="M89" s="59">
        <f t="shared" si="69"/>
        <v>1796.85</v>
      </c>
      <c r="N89" s="58"/>
      <c r="O89" s="58"/>
      <c r="P89" s="59">
        <f t="shared" ref="P89:P95" si="71">L89/$A$4*12</f>
        <v>495</v>
      </c>
      <c r="Q89" s="59">
        <f t="shared" ref="Q89:R89" si="72">P89</f>
        <v>495</v>
      </c>
      <c r="R89" s="65">
        <f t="shared" si="72"/>
        <v>495</v>
      </c>
      <c r="S89" s="59">
        <v>0</v>
      </c>
      <c r="T89" s="59">
        <v>0</v>
      </c>
    </row>
    <row r="90" spans="1:20" x14ac:dyDescent="0.25">
      <c r="A90" s="17"/>
      <c r="B90" s="19">
        <v>6390544001</v>
      </c>
      <c r="C90" s="19" t="s">
        <v>78</v>
      </c>
      <c r="D90" s="23"/>
      <c r="E90" s="27">
        <v>1</v>
      </c>
      <c r="F90" s="63">
        <v>6390544001</v>
      </c>
      <c r="G90" s="59">
        <v>14.3</v>
      </c>
      <c r="H90" s="59">
        <v>18.880468750000006</v>
      </c>
      <c r="I90" s="60">
        <f t="shared" si="65"/>
        <v>0.24260355029585817</v>
      </c>
      <c r="J90" s="59">
        <f t="shared" si="66"/>
        <v>14.3</v>
      </c>
      <c r="K90" s="59">
        <f t="shared" si="67"/>
        <v>17.303000000000001</v>
      </c>
      <c r="L90" s="81">
        <f t="shared" si="68"/>
        <v>14.3</v>
      </c>
      <c r="M90" s="59">
        <f t="shared" si="69"/>
        <v>17.303000000000001</v>
      </c>
      <c r="N90" s="58"/>
      <c r="O90" s="58"/>
      <c r="P90" s="59">
        <f t="shared" si="71"/>
        <v>4.7666666666666675</v>
      </c>
      <c r="Q90" s="59">
        <f t="shared" ref="Q90:R90" si="73">P90</f>
        <v>4.7666666666666675</v>
      </c>
      <c r="R90" s="65">
        <f t="shared" si="73"/>
        <v>4.7666666666666675</v>
      </c>
      <c r="S90" s="59">
        <v>0</v>
      </c>
      <c r="T90" s="59">
        <v>0</v>
      </c>
    </row>
    <row r="91" spans="1:20" x14ac:dyDescent="0.25">
      <c r="A91" s="17"/>
      <c r="B91" s="24">
        <v>6390579001</v>
      </c>
      <c r="C91" s="24" t="s">
        <v>79</v>
      </c>
      <c r="D91" s="23"/>
      <c r="E91" s="27">
        <v>1</v>
      </c>
      <c r="F91" s="63">
        <v>6390579001</v>
      </c>
      <c r="G91" s="59">
        <v>15.36</v>
      </c>
      <c r="H91" s="59">
        <v>20.28</v>
      </c>
      <c r="I91" s="60">
        <f t="shared" si="65"/>
        <v>0.24260355029585806</v>
      </c>
      <c r="J91" s="59">
        <f t="shared" si="66"/>
        <v>15.36</v>
      </c>
      <c r="K91" s="59">
        <f t="shared" si="67"/>
        <v>18.585599999999999</v>
      </c>
      <c r="L91" s="81">
        <f t="shared" si="68"/>
        <v>15.36</v>
      </c>
      <c r="M91" s="59">
        <f t="shared" si="69"/>
        <v>18.585599999999999</v>
      </c>
      <c r="N91" s="58"/>
      <c r="O91" s="58"/>
      <c r="P91" s="59">
        <f t="shared" si="71"/>
        <v>5.1199999999999992</v>
      </c>
      <c r="Q91" s="59">
        <f t="shared" ref="Q91:R91" si="74">P91</f>
        <v>5.1199999999999992</v>
      </c>
      <c r="R91" s="65">
        <f t="shared" si="74"/>
        <v>5.1199999999999992</v>
      </c>
      <c r="S91" s="59">
        <v>0</v>
      </c>
      <c r="T91" s="59">
        <v>0</v>
      </c>
    </row>
    <row r="92" spans="1:20" x14ac:dyDescent="0.25">
      <c r="A92" s="17"/>
      <c r="B92" s="19">
        <v>5099986001</v>
      </c>
      <c r="C92" s="19" t="s">
        <v>80</v>
      </c>
      <c r="D92" s="23"/>
      <c r="E92" s="27">
        <v>2</v>
      </c>
      <c r="F92" s="63">
        <v>5099986001</v>
      </c>
      <c r="G92" s="59">
        <v>102.64</v>
      </c>
      <c r="H92" s="59">
        <v>135.51687500000003</v>
      </c>
      <c r="I92" s="60">
        <f t="shared" si="65"/>
        <v>0.24260355029585814</v>
      </c>
      <c r="J92" s="59">
        <f t="shared" si="66"/>
        <v>102.64</v>
      </c>
      <c r="K92" s="59">
        <f t="shared" si="67"/>
        <v>124.1944</v>
      </c>
      <c r="L92" s="81">
        <f t="shared" si="68"/>
        <v>205.28</v>
      </c>
      <c r="M92" s="59">
        <f t="shared" si="69"/>
        <v>248.3888</v>
      </c>
      <c r="N92" s="58"/>
      <c r="O92" s="58"/>
      <c r="P92" s="59">
        <f t="shared" si="71"/>
        <v>68.426666666666662</v>
      </c>
      <c r="Q92" s="59">
        <f t="shared" ref="Q92:R92" si="75">P92</f>
        <v>68.426666666666662</v>
      </c>
      <c r="R92" s="65">
        <f t="shared" si="75"/>
        <v>68.426666666666662</v>
      </c>
      <c r="S92" s="59">
        <v>0</v>
      </c>
      <c r="T92" s="59">
        <v>0</v>
      </c>
    </row>
    <row r="93" spans="1:20" x14ac:dyDescent="0.25">
      <c r="A93" s="17"/>
      <c r="B93" s="19">
        <v>11902997001</v>
      </c>
      <c r="C93" s="19" t="s">
        <v>81</v>
      </c>
      <c r="D93" s="23"/>
      <c r="E93" s="27">
        <v>1</v>
      </c>
      <c r="F93" s="63">
        <v>11902997001</v>
      </c>
      <c r="G93" s="59">
        <v>415.03</v>
      </c>
      <c r="H93" s="59">
        <v>1013.67</v>
      </c>
      <c r="I93" s="60">
        <f t="shared" si="65"/>
        <v>0.59056694979628477</v>
      </c>
      <c r="J93" s="59">
        <f t="shared" si="66"/>
        <v>415.03</v>
      </c>
      <c r="K93" s="59">
        <f t="shared" si="67"/>
        <v>502.18629999999996</v>
      </c>
      <c r="L93" s="81">
        <f t="shared" si="68"/>
        <v>415.03</v>
      </c>
      <c r="M93" s="59">
        <f t="shared" si="69"/>
        <v>502.18629999999996</v>
      </c>
      <c r="N93" s="58"/>
      <c r="O93" s="58"/>
      <c r="P93" s="59">
        <f t="shared" si="71"/>
        <v>138.34333333333333</v>
      </c>
      <c r="Q93" s="59">
        <f t="shared" ref="Q93:R93" si="76">P93</f>
        <v>138.34333333333333</v>
      </c>
      <c r="R93" s="65">
        <f t="shared" si="76"/>
        <v>138.34333333333333</v>
      </c>
      <c r="S93" s="59">
        <v>0</v>
      </c>
      <c r="T93" s="59">
        <v>0</v>
      </c>
    </row>
    <row r="94" spans="1:20" x14ac:dyDescent="0.25">
      <c r="A94" s="17"/>
      <c r="B94" s="19">
        <v>12025728001</v>
      </c>
      <c r="C94" s="19" t="s">
        <v>82</v>
      </c>
      <c r="D94" s="23"/>
      <c r="E94" s="27">
        <v>1</v>
      </c>
      <c r="F94" s="63">
        <v>12025728001</v>
      </c>
      <c r="G94" s="59">
        <v>27.94</v>
      </c>
      <c r="H94" s="59">
        <v>57.92</v>
      </c>
      <c r="I94" s="60">
        <f t="shared" si="65"/>
        <v>0.51761049723756902</v>
      </c>
      <c r="J94" s="59">
        <f t="shared" si="66"/>
        <v>27.94</v>
      </c>
      <c r="K94" s="59">
        <f t="shared" si="67"/>
        <v>33.807400000000001</v>
      </c>
      <c r="L94" s="81">
        <f t="shared" si="68"/>
        <v>27.94</v>
      </c>
      <c r="M94" s="59">
        <f t="shared" si="69"/>
        <v>33.807400000000001</v>
      </c>
      <c r="N94" s="58"/>
      <c r="O94" s="58"/>
      <c r="P94" s="59">
        <f t="shared" si="71"/>
        <v>9.3133333333333344</v>
      </c>
      <c r="Q94" s="59">
        <f t="shared" ref="Q94:R94" si="77">P94</f>
        <v>9.3133333333333344</v>
      </c>
      <c r="R94" s="65">
        <f t="shared" si="77"/>
        <v>9.3133333333333344</v>
      </c>
      <c r="S94" s="59">
        <v>0</v>
      </c>
      <c r="T94" s="59">
        <v>0</v>
      </c>
    </row>
    <row r="95" spans="1:20" x14ac:dyDescent="0.25">
      <c r="A95" s="17"/>
      <c r="B95" s="19">
        <v>12025574001</v>
      </c>
      <c r="C95" s="19" t="s">
        <v>83</v>
      </c>
      <c r="D95" s="23"/>
      <c r="E95" s="27">
        <v>1</v>
      </c>
      <c r="F95" s="63">
        <v>12025574001</v>
      </c>
      <c r="G95" s="59">
        <v>139.29</v>
      </c>
      <c r="H95" s="59">
        <v>217.22</v>
      </c>
      <c r="I95" s="60">
        <f t="shared" si="65"/>
        <v>0.35876070343430627</v>
      </c>
      <c r="J95" s="59">
        <f t="shared" si="66"/>
        <v>139.29</v>
      </c>
      <c r="K95" s="59">
        <f t="shared" si="67"/>
        <v>168.54089999999999</v>
      </c>
      <c r="L95" s="81">
        <f t="shared" si="68"/>
        <v>139.29</v>
      </c>
      <c r="M95" s="59">
        <f t="shared" si="69"/>
        <v>168.54089999999999</v>
      </c>
      <c r="N95" s="58"/>
      <c r="O95" s="58"/>
      <c r="P95" s="59">
        <f t="shared" si="71"/>
        <v>46.43</v>
      </c>
      <c r="Q95" s="59">
        <f t="shared" ref="Q95:R95" si="78">P95</f>
        <v>46.43</v>
      </c>
      <c r="R95" s="65">
        <f t="shared" si="78"/>
        <v>46.43</v>
      </c>
      <c r="S95" s="59">
        <v>0</v>
      </c>
      <c r="T95" s="59">
        <v>0</v>
      </c>
    </row>
    <row r="96" spans="1:20" x14ac:dyDescent="0.25">
      <c r="B96" s="98">
        <v>6390501001</v>
      </c>
      <c r="C96" s="99" t="s">
        <v>84</v>
      </c>
      <c r="D96" s="95"/>
      <c r="E96" s="89">
        <v>1</v>
      </c>
      <c r="F96" s="63">
        <v>6390501001</v>
      </c>
      <c r="G96" s="59">
        <v>27594</v>
      </c>
      <c r="H96" s="59">
        <v>36432.703125000007</v>
      </c>
      <c r="I96" s="60">
        <f t="shared" si="65"/>
        <v>0.24260355029585814</v>
      </c>
      <c r="J96" s="59">
        <f t="shared" si="66"/>
        <v>27594</v>
      </c>
      <c r="K96" s="59">
        <f t="shared" si="67"/>
        <v>33388.74</v>
      </c>
      <c r="L96" s="81">
        <f t="shared" si="68"/>
        <v>27594</v>
      </c>
      <c r="M96" s="59">
        <f t="shared" si="69"/>
        <v>33388.74</v>
      </c>
      <c r="N96" s="58"/>
      <c r="O96" s="58"/>
      <c r="P96" s="81">
        <f>G96/$A$87*12</f>
        <v>9198</v>
      </c>
      <c r="Q96" s="59">
        <f t="shared" ref="Q96:T96" si="79">P96</f>
        <v>9198</v>
      </c>
      <c r="R96" s="59">
        <f t="shared" si="79"/>
        <v>9198</v>
      </c>
      <c r="S96" s="59">
        <f t="shared" si="79"/>
        <v>9198</v>
      </c>
      <c r="T96" s="59">
        <f t="shared" si="79"/>
        <v>9198</v>
      </c>
    </row>
    <row r="97" spans="1:20" x14ac:dyDescent="0.25">
      <c r="B97" s="26">
        <v>7127162001</v>
      </c>
      <c r="C97" s="25" t="s">
        <v>85</v>
      </c>
      <c r="D97" s="14"/>
      <c r="E97" s="19">
        <v>1</v>
      </c>
      <c r="F97" s="63">
        <v>7127162001</v>
      </c>
      <c r="G97" s="59">
        <v>76.67</v>
      </c>
      <c r="H97" s="59">
        <v>101.22835937500003</v>
      </c>
      <c r="I97" s="60">
        <f t="shared" si="65"/>
        <v>0.24260355029585814</v>
      </c>
      <c r="J97" s="59">
        <f t="shared" si="66"/>
        <v>76.67</v>
      </c>
      <c r="K97" s="59">
        <f t="shared" si="67"/>
        <v>92.770700000000005</v>
      </c>
      <c r="L97" s="81">
        <f t="shared" si="68"/>
        <v>76.67</v>
      </c>
      <c r="M97" s="59">
        <f t="shared" si="69"/>
        <v>92.770700000000005</v>
      </c>
      <c r="N97" s="58"/>
      <c r="O97" s="58"/>
      <c r="P97" s="59">
        <f t="shared" ref="P97:P100" si="80">L97/$A$4*12</f>
        <v>25.556666666666665</v>
      </c>
      <c r="Q97" s="59">
        <f t="shared" ref="Q97:R97" si="81">P97</f>
        <v>25.556666666666665</v>
      </c>
      <c r="R97" s="65">
        <f t="shared" si="81"/>
        <v>25.556666666666665</v>
      </c>
      <c r="S97" s="59">
        <v>0</v>
      </c>
      <c r="T97" s="59">
        <v>0</v>
      </c>
    </row>
    <row r="98" spans="1:20" x14ac:dyDescent="0.25">
      <c r="B98" s="26">
        <v>7127189001</v>
      </c>
      <c r="C98" s="25" t="s">
        <v>86</v>
      </c>
      <c r="D98" s="15"/>
      <c r="E98" s="20">
        <v>1</v>
      </c>
      <c r="F98" s="63">
        <v>7127189001</v>
      </c>
      <c r="G98" s="59">
        <v>106.37</v>
      </c>
      <c r="H98" s="59">
        <v>140.44164062500002</v>
      </c>
      <c r="I98" s="60">
        <f t="shared" si="65"/>
        <v>0.24260355029585806</v>
      </c>
      <c r="J98" s="59">
        <f t="shared" si="66"/>
        <v>106.37</v>
      </c>
      <c r="K98" s="59">
        <f t="shared" si="67"/>
        <v>128.70769999999999</v>
      </c>
      <c r="L98" s="81">
        <f t="shared" si="68"/>
        <v>106.37</v>
      </c>
      <c r="M98" s="59">
        <f t="shared" si="69"/>
        <v>128.70769999999999</v>
      </c>
      <c r="N98" s="58"/>
      <c r="O98" s="58"/>
      <c r="P98" s="59">
        <f t="shared" si="80"/>
        <v>35.456666666666663</v>
      </c>
      <c r="Q98" s="59">
        <f t="shared" ref="Q98:R98" si="82">P98</f>
        <v>35.456666666666663</v>
      </c>
      <c r="R98" s="65">
        <f t="shared" si="82"/>
        <v>35.456666666666663</v>
      </c>
      <c r="S98" s="59">
        <v>0</v>
      </c>
      <c r="T98" s="59">
        <v>0</v>
      </c>
    </row>
    <row r="99" spans="1:20" x14ac:dyDescent="0.25">
      <c r="B99" s="14" t="s">
        <v>149</v>
      </c>
      <c r="C99" s="14" t="s">
        <v>87</v>
      </c>
      <c r="D99" s="14"/>
      <c r="E99" s="19">
        <v>1</v>
      </c>
      <c r="F99" s="63">
        <v>7418183001</v>
      </c>
      <c r="G99" s="59">
        <v>820</v>
      </c>
      <c r="H99" s="59">
        <v>866</v>
      </c>
      <c r="I99" s="60">
        <f t="shared" si="65"/>
        <v>5.3117782909930716E-2</v>
      </c>
      <c r="J99" s="59">
        <f t="shared" si="66"/>
        <v>820</v>
      </c>
      <c r="K99" s="59">
        <f t="shared" si="67"/>
        <v>992.19999999999993</v>
      </c>
      <c r="L99" s="81">
        <f t="shared" si="68"/>
        <v>820</v>
      </c>
      <c r="M99" s="59">
        <f t="shared" si="69"/>
        <v>992.19999999999993</v>
      </c>
      <c r="N99" s="58"/>
      <c r="O99" s="58"/>
      <c r="P99" s="59">
        <f t="shared" si="80"/>
        <v>273.33333333333337</v>
      </c>
      <c r="Q99" s="59">
        <f t="shared" ref="Q99:R99" si="83">P99</f>
        <v>273.33333333333337</v>
      </c>
      <c r="R99" s="65">
        <f t="shared" si="83"/>
        <v>273.33333333333337</v>
      </c>
      <c r="S99" s="59">
        <v>0</v>
      </c>
      <c r="T99" s="59">
        <v>0</v>
      </c>
    </row>
    <row r="100" spans="1:20" x14ac:dyDescent="0.25">
      <c r="B100" s="14">
        <v>5551471001</v>
      </c>
      <c r="C100" s="14" t="s">
        <v>74</v>
      </c>
      <c r="D100" s="14"/>
      <c r="E100" s="19">
        <v>1</v>
      </c>
      <c r="F100" s="63">
        <v>5551471001</v>
      </c>
      <c r="G100" s="59">
        <v>147.94999999999999</v>
      </c>
      <c r="H100" s="59">
        <v>202.73</v>
      </c>
      <c r="I100" s="60">
        <f>(H100-G100)/H100</f>
        <v>0.27021161150298428</v>
      </c>
      <c r="J100" s="59">
        <f>G100</f>
        <v>147.94999999999999</v>
      </c>
      <c r="K100" s="59">
        <f t="shared" si="67"/>
        <v>179.01949999999999</v>
      </c>
      <c r="L100" s="81">
        <f t="shared" si="68"/>
        <v>147.94999999999999</v>
      </c>
      <c r="M100" s="59">
        <f t="shared" si="69"/>
        <v>179.01949999999999</v>
      </c>
      <c r="N100" s="58"/>
      <c r="O100" s="58"/>
      <c r="P100" s="59">
        <f t="shared" si="80"/>
        <v>49.316666666666663</v>
      </c>
      <c r="Q100" s="59">
        <f t="shared" ref="Q100:R100" si="84">P100</f>
        <v>49.316666666666663</v>
      </c>
      <c r="R100" s="65">
        <f t="shared" si="84"/>
        <v>49.316666666666663</v>
      </c>
      <c r="S100" s="59">
        <v>0</v>
      </c>
      <c r="T100" s="59">
        <v>0</v>
      </c>
    </row>
    <row r="101" spans="1:20" x14ac:dyDescent="0.25">
      <c r="B101" s="43" t="s">
        <v>46</v>
      </c>
      <c r="C101" s="51" t="s">
        <v>47</v>
      </c>
      <c r="D101" s="51"/>
      <c r="E101" s="53"/>
      <c r="J101" s="59"/>
      <c r="K101" s="59"/>
      <c r="N101" s="58"/>
      <c r="O101" s="58"/>
    </row>
    <row r="102" spans="1:20" x14ac:dyDescent="0.25">
      <c r="B102" s="14">
        <v>6274269001</v>
      </c>
      <c r="C102" s="14" t="s">
        <v>125</v>
      </c>
      <c r="D102" s="14"/>
      <c r="E102" s="19">
        <v>2</v>
      </c>
      <c r="F102" s="63">
        <v>6274269001</v>
      </c>
      <c r="G102" s="59">
        <v>17.8</v>
      </c>
      <c r="H102" s="59">
        <v>35.6</v>
      </c>
      <c r="I102" s="60">
        <f t="shared" ref="I102:I108" si="85">(H102-G102)/H102</f>
        <v>0.5</v>
      </c>
      <c r="J102" s="59">
        <f t="shared" ref="J102:J108" si="86">G102</f>
        <v>17.8</v>
      </c>
      <c r="K102" s="59">
        <f t="shared" ref="K102:K108" si="87">G102*(1+$K$2)</f>
        <v>21.538</v>
      </c>
      <c r="L102" s="81">
        <f t="shared" ref="L102:L108" si="88">E102*G102</f>
        <v>35.6</v>
      </c>
      <c r="M102" s="59">
        <f t="shared" ref="M102:M108" si="89">K102*E102</f>
        <v>43.076000000000001</v>
      </c>
      <c r="N102" s="58"/>
      <c r="O102" s="58"/>
      <c r="P102" s="59">
        <f t="shared" ref="P102:P108" si="90">L102/$A$4*12</f>
        <v>11.866666666666667</v>
      </c>
      <c r="Q102" s="59">
        <f t="shared" ref="Q102:R102" si="91">P102</f>
        <v>11.866666666666667</v>
      </c>
      <c r="R102" s="65">
        <f t="shared" si="91"/>
        <v>11.866666666666667</v>
      </c>
      <c r="S102" s="59">
        <v>0</v>
      </c>
      <c r="T102" s="59">
        <v>0</v>
      </c>
    </row>
    <row r="103" spans="1:20" x14ac:dyDescent="0.25">
      <c r="B103" s="14">
        <v>7165790001</v>
      </c>
      <c r="C103" s="14" t="s">
        <v>126</v>
      </c>
      <c r="D103" s="14"/>
      <c r="E103" s="19">
        <v>1</v>
      </c>
      <c r="F103" s="63">
        <v>7165790001</v>
      </c>
      <c r="G103" s="59">
        <v>209.4</v>
      </c>
      <c r="H103" s="59">
        <v>418.8</v>
      </c>
      <c r="I103" s="60">
        <f t="shared" si="85"/>
        <v>0.5</v>
      </c>
      <c r="J103" s="59">
        <f t="shared" si="86"/>
        <v>209.4</v>
      </c>
      <c r="K103" s="59">
        <f t="shared" si="87"/>
        <v>253.374</v>
      </c>
      <c r="L103" s="81">
        <f t="shared" si="88"/>
        <v>209.4</v>
      </c>
      <c r="M103" s="59">
        <f t="shared" si="89"/>
        <v>253.374</v>
      </c>
      <c r="N103" s="58"/>
      <c r="O103" s="58"/>
      <c r="P103" s="59">
        <f t="shared" si="90"/>
        <v>69.8</v>
      </c>
      <c r="Q103" s="59">
        <f t="shared" ref="Q103:R103" si="92">P103</f>
        <v>69.8</v>
      </c>
      <c r="R103" s="65">
        <f t="shared" si="92"/>
        <v>69.8</v>
      </c>
      <c r="S103" s="59">
        <v>0</v>
      </c>
      <c r="T103" s="59">
        <v>0</v>
      </c>
    </row>
    <row r="104" spans="1:20" x14ac:dyDescent="0.25">
      <c r="B104" s="14">
        <v>6274196001</v>
      </c>
      <c r="C104" s="14" t="s">
        <v>127</v>
      </c>
      <c r="D104" s="14"/>
      <c r="E104" s="19">
        <v>1</v>
      </c>
      <c r="F104" s="63">
        <v>6274196001</v>
      </c>
      <c r="G104" s="59">
        <v>223.1</v>
      </c>
      <c r="H104" s="59">
        <v>446.2</v>
      </c>
      <c r="I104" s="60">
        <f t="shared" si="85"/>
        <v>0.5</v>
      </c>
      <c r="J104" s="59">
        <f t="shared" si="86"/>
        <v>223.1</v>
      </c>
      <c r="K104" s="59">
        <f t="shared" si="87"/>
        <v>269.95099999999996</v>
      </c>
      <c r="L104" s="81">
        <f t="shared" si="88"/>
        <v>223.1</v>
      </c>
      <c r="M104" s="59">
        <f t="shared" si="89"/>
        <v>269.95099999999996</v>
      </c>
      <c r="N104" s="58"/>
      <c r="O104" s="58"/>
      <c r="P104" s="59">
        <f t="shared" si="90"/>
        <v>74.36666666666666</v>
      </c>
      <c r="Q104" s="59">
        <f t="shared" ref="Q104:R104" si="93">P104</f>
        <v>74.36666666666666</v>
      </c>
      <c r="R104" s="65">
        <f t="shared" si="93"/>
        <v>74.36666666666666</v>
      </c>
      <c r="S104" s="59">
        <v>0</v>
      </c>
      <c r="T104" s="59">
        <v>0</v>
      </c>
    </row>
    <row r="105" spans="1:20" x14ac:dyDescent="0.25">
      <c r="B105" s="14">
        <v>7165471001</v>
      </c>
      <c r="C105" s="14" t="s">
        <v>128</v>
      </c>
      <c r="D105" s="14"/>
      <c r="E105" s="19">
        <v>1</v>
      </c>
      <c r="F105" s="63">
        <v>7165471001</v>
      </c>
      <c r="G105" s="59">
        <v>214.1</v>
      </c>
      <c r="H105" s="59">
        <v>428.2</v>
      </c>
      <c r="I105" s="60">
        <f t="shared" si="85"/>
        <v>0.5</v>
      </c>
      <c r="J105" s="59">
        <f t="shared" si="86"/>
        <v>214.1</v>
      </c>
      <c r="K105" s="59">
        <f t="shared" si="87"/>
        <v>259.06099999999998</v>
      </c>
      <c r="L105" s="81">
        <f t="shared" si="88"/>
        <v>214.1</v>
      </c>
      <c r="M105" s="59">
        <f t="shared" si="89"/>
        <v>259.06099999999998</v>
      </c>
      <c r="N105" s="58"/>
      <c r="O105" s="58"/>
      <c r="P105" s="59">
        <f t="shared" si="90"/>
        <v>71.36666666666666</v>
      </c>
      <c r="Q105" s="59">
        <f t="shared" ref="Q105:R105" si="94">P105</f>
        <v>71.36666666666666</v>
      </c>
      <c r="R105" s="65">
        <f t="shared" si="94"/>
        <v>71.36666666666666</v>
      </c>
      <c r="S105" s="59">
        <v>0</v>
      </c>
      <c r="T105" s="59">
        <v>0</v>
      </c>
    </row>
    <row r="106" spans="1:20" x14ac:dyDescent="0.25">
      <c r="B106" s="14">
        <v>7315716001</v>
      </c>
      <c r="C106" s="14" t="s">
        <v>129</v>
      </c>
      <c r="D106" s="14"/>
      <c r="E106" s="19">
        <v>1</v>
      </c>
      <c r="F106" s="63">
        <v>7315716001</v>
      </c>
      <c r="G106" s="59">
        <v>9</v>
      </c>
      <c r="H106" s="59">
        <v>18</v>
      </c>
      <c r="I106" s="60">
        <f t="shared" si="85"/>
        <v>0.5</v>
      </c>
      <c r="J106" s="59">
        <f t="shared" si="86"/>
        <v>9</v>
      </c>
      <c r="K106" s="59">
        <f t="shared" si="87"/>
        <v>10.89</v>
      </c>
      <c r="L106" s="81">
        <f t="shared" si="88"/>
        <v>9</v>
      </c>
      <c r="M106" s="59">
        <f t="shared" si="89"/>
        <v>10.89</v>
      </c>
      <c r="N106" s="58"/>
      <c r="O106" s="58"/>
      <c r="P106" s="59">
        <f t="shared" si="90"/>
        <v>3</v>
      </c>
      <c r="Q106" s="59">
        <f t="shared" ref="Q106:R106" si="95">P106</f>
        <v>3</v>
      </c>
      <c r="R106" s="65">
        <f t="shared" si="95"/>
        <v>3</v>
      </c>
      <c r="S106" s="59">
        <v>0</v>
      </c>
      <c r="T106" s="59">
        <v>0</v>
      </c>
    </row>
    <row r="107" spans="1:20" x14ac:dyDescent="0.25">
      <c r="B107" s="14">
        <v>7165455001</v>
      </c>
      <c r="C107" s="14" t="s">
        <v>130</v>
      </c>
      <c r="D107" s="14"/>
      <c r="E107" s="19">
        <v>1</v>
      </c>
      <c r="F107" s="63">
        <v>7165455001</v>
      </c>
      <c r="G107" s="59">
        <v>14</v>
      </c>
      <c r="H107" s="59">
        <v>28</v>
      </c>
      <c r="I107" s="60">
        <f t="shared" si="85"/>
        <v>0.5</v>
      </c>
      <c r="J107" s="59">
        <f t="shared" si="86"/>
        <v>14</v>
      </c>
      <c r="K107" s="59">
        <f t="shared" si="87"/>
        <v>16.939999999999998</v>
      </c>
      <c r="L107" s="81">
        <f t="shared" si="88"/>
        <v>14</v>
      </c>
      <c r="M107" s="59">
        <f t="shared" si="89"/>
        <v>16.939999999999998</v>
      </c>
      <c r="N107" s="58"/>
      <c r="O107" s="58"/>
      <c r="P107" s="59">
        <f t="shared" si="90"/>
        <v>4.666666666666667</v>
      </c>
      <c r="Q107" s="59">
        <f t="shared" ref="Q107:R107" si="96">P107</f>
        <v>4.666666666666667</v>
      </c>
      <c r="R107" s="65">
        <f t="shared" si="96"/>
        <v>4.666666666666667</v>
      </c>
      <c r="S107" s="59">
        <v>0</v>
      </c>
      <c r="T107" s="59">
        <v>0</v>
      </c>
    </row>
    <row r="108" spans="1:20" ht="15.75" thickBot="1" x14ac:dyDescent="0.3">
      <c r="B108" s="12" t="s">
        <v>142</v>
      </c>
      <c r="C108" s="11" t="s">
        <v>115</v>
      </c>
      <c r="D108" s="41"/>
      <c r="E108" s="19">
        <v>20</v>
      </c>
      <c r="F108" s="63" t="s">
        <v>142</v>
      </c>
      <c r="G108" s="59">
        <v>12.17</v>
      </c>
      <c r="H108" s="59">
        <v>24.98</v>
      </c>
      <c r="I108" s="60">
        <f t="shared" si="85"/>
        <v>0.5128102481985588</v>
      </c>
      <c r="J108" s="59">
        <f t="shared" si="86"/>
        <v>12.17</v>
      </c>
      <c r="K108" s="59">
        <f t="shared" si="87"/>
        <v>14.7257</v>
      </c>
      <c r="L108" s="81">
        <f t="shared" si="88"/>
        <v>243.4</v>
      </c>
      <c r="M108" s="59">
        <f t="shared" si="89"/>
        <v>294.51400000000001</v>
      </c>
      <c r="N108" s="58"/>
      <c r="O108" s="58"/>
      <c r="P108" s="59">
        <f t="shared" si="90"/>
        <v>81.133333333333326</v>
      </c>
      <c r="Q108" s="59">
        <f t="shared" ref="Q108:R108" si="97">P108</f>
        <v>81.133333333333326</v>
      </c>
      <c r="R108" s="65">
        <f t="shared" si="97"/>
        <v>81.133333333333326</v>
      </c>
      <c r="S108" s="59">
        <v>0</v>
      </c>
      <c r="T108" s="59">
        <v>0</v>
      </c>
    </row>
    <row r="109" spans="1:20" ht="15.75" thickBot="1" x14ac:dyDescent="0.3">
      <c r="B109" s="175" t="s">
        <v>51</v>
      </c>
      <c r="C109" s="176"/>
      <c r="D109" s="18"/>
      <c r="J109" s="59"/>
      <c r="K109" s="59"/>
      <c r="N109" s="58"/>
      <c r="O109" s="58"/>
    </row>
    <row r="110" spans="1:20" x14ac:dyDescent="0.25">
      <c r="J110" s="59"/>
      <c r="K110" s="59"/>
      <c r="N110" s="58"/>
      <c r="O110" s="58"/>
    </row>
    <row r="111" spans="1:20" x14ac:dyDescent="0.25">
      <c r="J111" s="59"/>
      <c r="K111" s="59"/>
      <c r="N111" s="58"/>
      <c r="O111" s="58"/>
    </row>
    <row r="112" spans="1:20" x14ac:dyDescent="0.25">
      <c r="A112" s="17" t="s">
        <v>69</v>
      </c>
      <c r="B112" s="1" t="s">
        <v>46</v>
      </c>
      <c r="C112" s="1" t="s">
        <v>47</v>
      </c>
      <c r="D112" s="1" t="s">
        <v>48</v>
      </c>
      <c r="E112" s="1" t="s">
        <v>72</v>
      </c>
      <c r="J112" s="59"/>
      <c r="K112" s="59"/>
      <c r="N112" s="58"/>
      <c r="O112" s="58"/>
    </row>
    <row r="113" spans="1:20" s="70" customFormat="1" x14ac:dyDescent="0.25">
      <c r="A113" s="17">
        <v>36</v>
      </c>
      <c r="B113" s="1"/>
      <c r="C113" s="1" t="s">
        <v>161</v>
      </c>
      <c r="D113" s="1"/>
      <c r="E113" s="1"/>
      <c r="F113" s="68"/>
      <c r="G113" s="69">
        <f>SUM(G114:G116)</f>
        <v>14396.3</v>
      </c>
      <c r="H113" s="69">
        <f>SUM(H114:H116)</f>
        <v>16932.03</v>
      </c>
      <c r="J113" s="69">
        <f>SUM(J114:J116)</f>
        <v>14396.3</v>
      </c>
      <c r="K113" s="69">
        <f>SUM(K114:K116)</f>
        <v>17419.523000000001</v>
      </c>
      <c r="L113" s="69">
        <f t="shared" ref="L113:M113" si="98">SUM(L114:L116)</f>
        <v>14396.3</v>
      </c>
      <c r="M113" s="69">
        <f t="shared" si="98"/>
        <v>17419.523000000001</v>
      </c>
      <c r="N113" s="79">
        <f>-PV($N$2,A113,M113/A113)</f>
        <v>17230.801706410191</v>
      </c>
      <c r="O113" s="79">
        <f>ROUND(N113/A113,0)</f>
        <v>479</v>
      </c>
      <c r="P113" s="69"/>
      <c r="Q113" s="69"/>
    </row>
    <row r="114" spans="1:20" x14ac:dyDescent="0.25">
      <c r="B114" s="95">
        <v>5122287001</v>
      </c>
      <c r="C114" s="95" t="s">
        <v>88</v>
      </c>
      <c r="D114" s="95"/>
      <c r="E114" s="89">
        <v>1</v>
      </c>
      <c r="F114" s="63">
        <v>5122287001</v>
      </c>
      <c r="G114" s="59">
        <v>13555</v>
      </c>
      <c r="H114" s="59">
        <v>15494.67</v>
      </c>
      <c r="I114" s="60">
        <f t="shared" ref="I114:I116" si="99">(H114-G114)/H114</f>
        <v>0.12518304681545331</v>
      </c>
      <c r="J114" s="59">
        <f t="shared" ref="J114:J116" si="100">G114</f>
        <v>13555</v>
      </c>
      <c r="K114" s="59">
        <f t="shared" ref="K114:K116" si="101">G114*(1+$K$2)</f>
        <v>16401.55</v>
      </c>
      <c r="L114" s="81">
        <f t="shared" ref="L114:L116" si="102">E114*G114</f>
        <v>13555</v>
      </c>
      <c r="M114" s="59">
        <f t="shared" ref="M114:M116" si="103">K114*E114</f>
        <v>16401.55</v>
      </c>
      <c r="N114" s="58"/>
      <c r="O114" s="58"/>
      <c r="P114" s="81">
        <f>G114/$A$113*12</f>
        <v>4518.333333333333</v>
      </c>
      <c r="Q114" s="59">
        <f t="shared" ref="Q114:T114" si="104">P114</f>
        <v>4518.333333333333</v>
      </c>
      <c r="R114" s="59">
        <f t="shared" si="104"/>
        <v>4518.333333333333</v>
      </c>
      <c r="S114" s="59">
        <f t="shared" si="104"/>
        <v>4518.333333333333</v>
      </c>
      <c r="T114" s="59">
        <f t="shared" si="104"/>
        <v>4518.333333333333</v>
      </c>
    </row>
    <row r="115" spans="1:20" x14ac:dyDescent="0.25">
      <c r="B115" s="14">
        <v>5342481001</v>
      </c>
      <c r="C115" s="14" t="s">
        <v>89</v>
      </c>
      <c r="D115" s="14"/>
      <c r="E115" s="19">
        <v>1</v>
      </c>
      <c r="F115" s="63">
        <v>5342481001</v>
      </c>
      <c r="G115" s="59">
        <v>541.29999999999995</v>
      </c>
      <c r="H115" s="59">
        <v>987.36</v>
      </c>
      <c r="I115" s="60">
        <f t="shared" si="99"/>
        <v>0.45177037757251665</v>
      </c>
      <c r="J115" s="59">
        <f t="shared" si="100"/>
        <v>541.29999999999995</v>
      </c>
      <c r="K115" s="59">
        <f t="shared" si="101"/>
        <v>654.97299999999996</v>
      </c>
      <c r="L115" s="81">
        <f t="shared" si="102"/>
        <v>541.29999999999995</v>
      </c>
      <c r="M115" s="59">
        <f t="shared" si="103"/>
        <v>654.97299999999996</v>
      </c>
      <c r="N115" s="58"/>
      <c r="O115" s="58"/>
      <c r="P115" s="59">
        <f t="shared" ref="P115:P116" si="105">L115/$A$4*12</f>
        <v>180.43333333333331</v>
      </c>
      <c r="Q115" s="59">
        <f t="shared" ref="Q115:R115" si="106">P115</f>
        <v>180.43333333333331</v>
      </c>
      <c r="R115" s="65">
        <f t="shared" si="106"/>
        <v>180.43333333333331</v>
      </c>
      <c r="S115" s="59">
        <v>0</v>
      </c>
      <c r="T115" s="59">
        <v>0</v>
      </c>
    </row>
    <row r="116" spans="1:20" ht="15.75" thickBot="1" x14ac:dyDescent="0.3">
      <c r="B116" s="14"/>
      <c r="C116" s="14" t="s">
        <v>90</v>
      </c>
      <c r="D116" s="14"/>
      <c r="E116" s="19">
        <v>1</v>
      </c>
      <c r="G116" s="59">
        <v>300</v>
      </c>
      <c r="H116" s="59">
        <v>450</v>
      </c>
      <c r="I116" s="60">
        <f t="shared" si="99"/>
        <v>0.33333333333333331</v>
      </c>
      <c r="J116" s="59">
        <f t="shared" si="100"/>
        <v>300</v>
      </c>
      <c r="K116" s="59">
        <f t="shared" si="101"/>
        <v>363</v>
      </c>
      <c r="L116" s="81">
        <f t="shared" si="102"/>
        <v>300</v>
      </c>
      <c r="M116" s="59">
        <f t="shared" si="103"/>
        <v>363</v>
      </c>
      <c r="N116" s="58"/>
      <c r="O116" s="58"/>
      <c r="P116" s="59">
        <f t="shared" si="105"/>
        <v>100</v>
      </c>
      <c r="Q116" s="59">
        <f t="shared" ref="Q116:R116" si="107">P116</f>
        <v>100</v>
      </c>
      <c r="R116" s="65">
        <f t="shared" si="107"/>
        <v>100</v>
      </c>
      <c r="S116" s="59">
        <v>0</v>
      </c>
      <c r="T116" s="59">
        <v>0</v>
      </c>
    </row>
    <row r="117" spans="1:20" ht="15.75" thickBot="1" x14ac:dyDescent="0.3">
      <c r="B117" s="175" t="s">
        <v>51</v>
      </c>
      <c r="C117" s="176"/>
      <c r="D117" s="18"/>
      <c r="J117" s="59"/>
      <c r="K117" s="59"/>
      <c r="N117" s="58"/>
      <c r="O117" s="58"/>
    </row>
    <row r="118" spans="1:20" x14ac:dyDescent="0.25">
      <c r="J118" s="59"/>
      <c r="K118" s="59"/>
      <c r="N118" s="58"/>
      <c r="O118" s="58"/>
    </row>
    <row r="119" spans="1:20" x14ac:dyDescent="0.25">
      <c r="J119" s="59"/>
      <c r="K119" s="59"/>
      <c r="N119" s="58"/>
      <c r="O119" s="58"/>
    </row>
    <row r="120" spans="1:20" x14ac:dyDescent="0.25">
      <c r="A120" s="17" t="s">
        <v>70</v>
      </c>
      <c r="B120" s="1" t="s">
        <v>46</v>
      </c>
      <c r="C120" s="1" t="s">
        <v>47</v>
      </c>
      <c r="D120" s="1" t="s">
        <v>48</v>
      </c>
      <c r="E120" s="1" t="s">
        <v>72</v>
      </c>
      <c r="J120" s="59"/>
      <c r="K120" s="59"/>
      <c r="N120" s="58"/>
      <c r="O120" s="58"/>
    </row>
    <row r="121" spans="1:20" s="70" customFormat="1" x14ac:dyDescent="0.25">
      <c r="A121" s="17">
        <v>36</v>
      </c>
      <c r="B121" s="1"/>
      <c r="C121" s="1" t="s">
        <v>161</v>
      </c>
      <c r="D121" s="1"/>
      <c r="E121" s="1"/>
      <c r="F121" s="68"/>
      <c r="G121" s="69">
        <f>SUM(G122:G125)</f>
        <v>472.33</v>
      </c>
      <c r="H121" s="69">
        <f>SUM(H122:H125)</f>
        <v>1042.6300000000001</v>
      </c>
      <c r="J121" s="69">
        <f>SUM(J122:J125)</f>
        <v>472.33</v>
      </c>
      <c r="K121" s="69">
        <f>SUM(K122:K125)</f>
        <v>571.51929999999993</v>
      </c>
      <c r="L121" s="69">
        <f t="shared" ref="L121:M121" si="108">SUM(L122:L125)</f>
        <v>1889.32</v>
      </c>
      <c r="M121" s="69">
        <f t="shared" si="108"/>
        <v>2286.0771999999997</v>
      </c>
      <c r="N121" s="79">
        <f>-PV($N$2,A121,M121/A121)</f>
        <v>2261.3100782808706</v>
      </c>
      <c r="O121" s="79">
        <f>ROUND(N121/A121,0)</f>
        <v>63</v>
      </c>
      <c r="P121" s="69"/>
      <c r="Q121" s="69"/>
    </row>
    <row r="122" spans="1:20" x14ac:dyDescent="0.25">
      <c r="B122" s="14" t="s">
        <v>150</v>
      </c>
      <c r="C122" s="14" t="s">
        <v>91</v>
      </c>
      <c r="D122" s="14"/>
      <c r="E122" s="19">
        <v>4</v>
      </c>
      <c r="F122" s="63" t="s">
        <v>150</v>
      </c>
      <c r="G122" s="59">
        <v>21.46</v>
      </c>
      <c r="H122" s="59">
        <v>30.41</v>
      </c>
      <c r="I122" s="60">
        <f t="shared" ref="I122:I125" si="109">(H122-G122)/H122</f>
        <v>0.29431108188096017</v>
      </c>
      <c r="J122" s="59">
        <f t="shared" ref="J122:J125" si="110">G122</f>
        <v>21.46</v>
      </c>
      <c r="K122" s="59">
        <f t="shared" ref="K122:K125" si="111">G122*(1+$K$2)</f>
        <v>25.9666</v>
      </c>
      <c r="L122" s="81">
        <f t="shared" ref="L122:L125" si="112">E122*G122</f>
        <v>85.84</v>
      </c>
      <c r="M122" s="59">
        <f t="shared" ref="M122:M125" si="113">K122*E122</f>
        <v>103.8664</v>
      </c>
      <c r="N122" s="58"/>
      <c r="O122" s="58"/>
      <c r="P122" s="59">
        <f>L122/3</f>
        <v>28.613333333333333</v>
      </c>
      <c r="Q122" s="59">
        <f>P122</f>
        <v>28.613333333333333</v>
      </c>
      <c r="R122" s="59">
        <f>Q122</f>
        <v>28.613333333333333</v>
      </c>
      <c r="S122" s="59">
        <v>0</v>
      </c>
      <c r="T122" s="59">
        <v>0</v>
      </c>
    </row>
    <row r="123" spans="1:20" x14ac:dyDescent="0.25">
      <c r="B123" s="14" t="s">
        <v>151</v>
      </c>
      <c r="C123" s="14" t="s">
        <v>92</v>
      </c>
      <c r="D123" s="14"/>
      <c r="E123" s="19">
        <v>4</v>
      </c>
      <c r="F123" s="63" t="s">
        <v>151</v>
      </c>
      <c r="G123" s="59">
        <v>15.07</v>
      </c>
      <c r="H123" s="59">
        <v>27.51</v>
      </c>
      <c r="I123" s="60">
        <f t="shared" si="109"/>
        <v>0.45219920029080335</v>
      </c>
      <c r="J123" s="59">
        <f t="shared" si="110"/>
        <v>15.07</v>
      </c>
      <c r="K123" s="59">
        <f t="shared" si="111"/>
        <v>18.2347</v>
      </c>
      <c r="L123" s="81">
        <f t="shared" si="112"/>
        <v>60.28</v>
      </c>
      <c r="M123" s="59">
        <f t="shared" si="113"/>
        <v>72.938800000000001</v>
      </c>
      <c r="N123" s="58"/>
      <c r="O123" s="58"/>
      <c r="P123" s="59">
        <f t="shared" ref="P123:P125" si="114">L123/3</f>
        <v>20.093333333333334</v>
      </c>
      <c r="Q123" s="59">
        <f t="shared" ref="Q123:R125" si="115">P123</f>
        <v>20.093333333333334</v>
      </c>
      <c r="R123" s="59">
        <f t="shared" si="115"/>
        <v>20.093333333333334</v>
      </c>
      <c r="S123" s="59">
        <v>0</v>
      </c>
      <c r="T123" s="59">
        <v>0</v>
      </c>
    </row>
    <row r="124" spans="1:20" x14ac:dyDescent="0.25">
      <c r="B124" s="14" t="s">
        <v>152</v>
      </c>
      <c r="C124" s="14" t="s">
        <v>93</v>
      </c>
      <c r="D124" s="14"/>
      <c r="E124" s="19">
        <v>4</v>
      </c>
      <c r="F124" s="63" t="s">
        <v>152</v>
      </c>
      <c r="G124" s="59">
        <v>126.27</v>
      </c>
      <c r="H124" s="59">
        <v>260.66000000000003</v>
      </c>
      <c r="I124" s="60">
        <f t="shared" si="109"/>
        <v>0.51557584592956351</v>
      </c>
      <c r="J124" s="59">
        <f t="shared" si="110"/>
        <v>126.27</v>
      </c>
      <c r="K124" s="59">
        <f t="shared" si="111"/>
        <v>152.7867</v>
      </c>
      <c r="L124" s="81">
        <f t="shared" si="112"/>
        <v>505.08</v>
      </c>
      <c r="M124" s="59">
        <f t="shared" si="113"/>
        <v>611.14679999999998</v>
      </c>
      <c r="N124" s="58"/>
      <c r="O124" s="58"/>
      <c r="P124" s="59">
        <f t="shared" si="114"/>
        <v>168.35999999999999</v>
      </c>
      <c r="Q124" s="59">
        <f t="shared" si="115"/>
        <v>168.35999999999999</v>
      </c>
      <c r="R124" s="59">
        <f t="shared" si="115"/>
        <v>168.35999999999999</v>
      </c>
      <c r="S124" s="59">
        <v>0</v>
      </c>
      <c r="T124" s="59">
        <v>0</v>
      </c>
    </row>
    <row r="125" spans="1:20" ht="15.75" thickBot="1" x14ac:dyDescent="0.3">
      <c r="B125" s="14" t="s">
        <v>153</v>
      </c>
      <c r="C125" s="14" t="s">
        <v>94</v>
      </c>
      <c r="D125" s="14"/>
      <c r="E125" s="19">
        <v>4</v>
      </c>
      <c r="F125" s="63" t="s">
        <v>153</v>
      </c>
      <c r="G125" s="59">
        <v>309.52999999999997</v>
      </c>
      <c r="H125" s="59">
        <v>724.05</v>
      </c>
      <c r="I125" s="60">
        <f t="shared" si="109"/>
        <v>0.5725018990401215</v>
      </c>
      <c r="J125" s="59">
        <f t="shared" si="110"/>
        <v>309.52999999999997</v>
      </c>
      <c r="K125" s="59">
        <f t="shared" si="111"/>
        <v>374.53129999999993</v>
      </c>
      <c r="L125" s="81">
        <f t="shared" si="112"/>
        <v>1238.1199999999999</v>
      </c>
      <c r="M125" s="59">
        <f t="shared" si="113"/>
        <v>1498.1251999999997</v>
      </c>
      <c r="N125" s="58"/>
      <c r="O125" s="58"/>
      <c r="P125" s="59">
        <f t="shared" si="114"/>
        <v>412.70666666666665</v>
      </c>
      <c r="Q125" s="59">
        <f t="shared" si="115"/>
        <v>412.70666666666665</v>
      </c>
      <c r="R125" s="59">
        <f t="shared" si="115"/>
        <v>412.70666666666665</v>
      </c>
      <c r="S125" s="59">
        <v>0</v>
      </c>
      <c r="T125" s="59">
        <v>0</v>
      </c>
    </row>
    <row r="126" spans="1:20" ht="15.75" thickBot="1" x14ac:dyDescent="0.3">
      <c r="B126" s="175" t="s">
        <v>51</v>
      </c>
      <c r="C126" s="176"/>
      <c r="D126" s="18"/>
      <c r="J126" s="59"/>
      <c r="K126" s="59"/>
      <c r="N126" s="58"/>
      <c r="O126" s="58"/>
    </row>
    <row r="127" spans="1:20" x14ac:dyDescent="0.25">
      <c r="J127" s="59"/>
      <c r="K127" s="59"/>
      <c r="N127" s="58"/>
      <c r="O127" s="58"/>
    </row>
    <row r="128" spans="1:20" x14ac:dyDescent="0.25">
      <c r="J128" s="59"/>
      <c r="K128" s="59"/>
      <c r="N128" s="58"/>
      <c r="O128" s="58"/>
    </row>
    <row r="129" spans="1:22" x14ac:dyDescent="0.25">
      <c r="A129" s="17" t="s">
        <v>71</v>
      </c>
      <c r="B129" s="1" t="s">
        <v>46</v>
      </c>
      <c r="C129" s="1" t="s">
        <v>47</v>
      </c>
      <c r="D129" s="1" t="s">
        <v>48</v>
      </c>
      <c r="E129" s="1" t="s">
        <v>72</v>
      </c>
      <c r="J129" s="59"/>
      <c r="K129" s="59"/>
      <c r="N129" s="58"/>
      <c r="O129" s="58"/>
    </row>
    <row r="130" spans="1:22" s="70" customFormat="1" x14ac:dyDescent="0.25">
      <c r="A130" s="17">
        <v>36</v>
      </c>
      <c r="B130" s="1"/>
      <c r="C130" s="1" t="s">
        <v>161</v>
      </c>
      <c r="D130" s="1"/>
      <c r="E130" s="1"/>
      <c r="F130" s="68"/>
      <c r="G130" s="69">
        <f>G131</f>
        <v>733.06</v>
      </c>
      <c r="H130" s="69">
        <f>H131</f>
        <v>2012.86</v>
      </c>
      <c r="J130" s="69">
        <f>J131</f>
        <v>733.06</v>
      </c>
      <c r="K130" s="69">
        <f>K131</f>
        <v>887.00259999999992</v>
      </c>
      <c r="L130" s="69">
        <f t="shared" ref="L130:M130" si="116">L131</f>
        <v>733.06</v>
      </c>
      <c r="M130" s="69">
        <f t="shared" si="116"/>
        <v>887.00259999999992</v>
      </c>
      <c r="N130" s="79">
        <f>-PV($N$2,A130,M130/A130)</f>
        <v>877.39290643436516</v>
      </c>
      <c r="O130" s="79">
        <f>ROUND(N130/A130,0)</f>
        <v>24</v>
      </c>
      <c r="P130" s="69"/>
      <c r="Q130" s="69"/>
    </row>
    <row r="131" spans="1:22" ht="15.75" thickBot="1" x14ac:dyDescent="0.3">
      <c r="B131" s="14" t="s">
        <v>154</v>
      </c>
      <c r="C131" s="14" t="s">
        <v>95</v>
      </c>
      <c r="D131" s="14"/>
      <c r="E131" s="19">
        <v>1</v>
      </c>
      <c r="F131" s="63" t="s">
        <v>154</v>
      </c>
      <c r="G131" s="59">
        <v>733.06</v>
      </c>
      <c r="H131" s="59">
        <v>2012.86</v>
      </c>
      <c r="I131" s="60">
        <f t="shared" ref="I131" si="117">(H131-G131)/H131</f>
        <v>0.63581173057241935</v>
      </c>
      <c r="J131" s="59">
        <f>G131</f>
        <v>733.06</v>
      </c>
      <c r="K131" s="59">
        <f t="shared" ref="K131" si="118">G131*(1+$K$2)</f>
        <v>887.00259999999992</v>
      </c>
      <c r="L131" s="81">
        <f t="shared" ref="L131" si="119">E131*G131</f>
        <v>733.06</v>
      </c>
      <c r="M131" s="59">
        <f t="shared" ref="M131" si="120">K131*E131</f>
        <v>887.00259999999992</v>
      </c>
      <c r="N131" s="58"/>
      <c r="O131" s="58"/>
      <c r="P131" s="59">
        <f t="shared" ref="P131" si="121">L131/3</f>
        <v>244.35333333333332</v>
      </c>
      <c r="Q131" s="59">
        <f t="shared" ref="Q131:R131" si="122">P131</f>
        <v>244.35333333333332</v>
      </c>
      <c r="R131" s="59">
        <f t="shared" si="122"/>
        <v>244.35333333333332</v>
      </c>
      <c r="S131" s="59">
        <v>0</v>
      </c>
      <c r="T131" s="59">
        <v>0</v>
      </c>
    </row>
    <row r="132" spans="1:22" ht="15.75" thickBot="1" x14ac:dyDescent="0.3">
      <c r="B132" s="175" t="s">
        <v>51</v>
      </c>
      <c r="C132" s="176"/>
      <c r="D132" s="18"/>
      <c r="J132" s="59"/>
      <c r="K132" s="59"/>
      <c r="O132" s="59">
        <f>SUM(O4:O131)*12</f>
        <v>83820</v>
      </c>
    </row>
    <row r="133" spans="1:22" x14ac:dyDescent="0.25">
      <c r="J133" s="59"/>
      <c r="K133" s="59"/>
      <c r="O133" s="105" t="s">
        <v>167</v>
      </c>
      <c r="P133" s="59">
        <f>SUM(P9,P15:P16,P23,P25,P43:P44,P48,P59:P61,P73:P74,P88,P96,P114,P122:P125,P131)</f>
        <v>73117.726666666655</v>
      </c>
      <c r="Q133" s="59">
        <f>SUM(Q9,Q15:Q16,Q23,Q25,Q43:Q44,Q48,Q59:Q61,Q73:Q74,Q88,Q96,Q114,Q122:Q125,Q131)</f>
        <v>66509.726666666669</v>
      </c>
      <c r="R133" s="59">
        <f>SUM(R9,R15:R16,R23,R25,R43:R44,R48,R59:R61,R73:R74,R88,R96,R114,R122:R125,R131)</f>
        <v>66509.726666666669</v>
      </c>
      <c r="S133" s="59">
        <f>SUM(S9,S15:S16,S23,S25,S43:S44,S48,S59:S61,S73:S74,S88,S96,S114,S122:S125,S131)</f>
        <v>42998.333333333336</v>
      </c>
      <c r="T133" s="59">
        <f>SUM(T9,T15:T16,T23,T25,T43:T44,T48,T59:T61,T73:T74,T88,T96,T114,T122:T125,T131)</f>
        <v>42685.533333333333</v>
      </c>
    </row>
    <row r="134" spans="1:22" x14ac:dyDescent="0.25">
      <c r="O134" s="105" t="s">
        <v>178</v>
      </c>
      <c r="P134" s="59">
        <f>SUM(P79:P82,P65:P67,P50:P53,P28:P36)</f>
        <v>6093.2500000000018</v>
      </c>
      <c r="Q134" s="59">
        <f>SUM(Q79:Q82,Q65:Q67,Q50:Q53,Q28:Q36)</f>
        <v>6093.2500000000018</v>
      </c>
      <c r="R134" s="59">
        <f>SUM(R79:R82,R65:R67,R50:R53,R28:R36)</f>
        <v>6093.2500000000018</v>
      </c>
      <c r="S134" s="59">
        <f>SUM(S79:S82,S65:S67,S50:S53,S28:S36)</f>
        <v>6093.2500000000018</v>
      </c>
      <c r="T134" s="59">
        <f>SUM(T79:T82,T65:T67,T50:T53,T28:T36)</f>
        <v>6093.2500000000018</v>
      </c>
    </row>
    <row r="135" spans="1:22" x14ac:dyDescent="0.25">
      <c r="O135" s="105" t="s">
        <v>184</v>
      </c>
      <c r="P135" s="59">
        <f>SUM(P115:P116,P97:P100,P89:P95,P75:P77,P62:P63,P45:P46,P26,P24)</f>
        <v>4379.0966666666664</v>
      </c>
      <c r="Q135" s="59">
        <f t="shared" ref="Q135:T135" si="123">SUM(Q115:Q116,Q97:Q100,Q89:Q95,Q75:Q77,Q62:Q63,Q45:Q46,Q26,Q24)</f>
        <v>4379.0966666666664</v>
      </c>
      <c r="R135" s="59">
        <f t="shared" si="123"/>
        <v>4379.0966666666664</v>
      </c>
      <c r="S135" s="59">
        <f t="shared" si="123"/>
        <v>0</v>
      </c>
      <c r="T135" s="59">
        <f t="shared" si="123"/>
        <v>0</v>
      </c>
    </row>
    <row r="136" spans="1:22" x14ac:dyDescent="0.25">
      <c r="P136" s="59">
        <f>SUM(P135,P133)</f>
        <v>77496.823333333319</v>
      </c>
      <c r="Q136" s="59">
        <f t="shared" ref="Q136:T136" si="124">SUM(Q135,Q133)</f>
        <v>70888.823333333334</v>
      </c>
      <c r="R136" s="59">
        <f t="shared" si="124"/>
        <v>70888.823333333334</v>
      </c>
      <c r="S136" s="59">
        <f t="shared" si="124"/>
        <v>42998.333333333336</v>
      </c>
      <c r="T136" s="59">
        <f t="shared" si="124"/>
        <v>42685.533333333333</v>
      </c>
    </row>
    <row r="137" spans="1:22" x14ac:dyDescent="0.25">
      <c r="P137" s="115"/>
      <c r="Q137" s="112" t="s">
        <v>169</v>
      </c>
      <c r="R137" s="112" t="s">
        <v>180</v>
      </c>
      <c r="S137" s="113" t="s">
        <v>181</v>
      </c>
      <c r="T137" s="113" t="s">
        <v>182</v>
      </c>
      <c r="U137" s="113" t="s">
        <v>183</v>
      </c>
      <c r="V137" s="114" t="s">
        <v>185</v>
      </c>
    </row>
    <row r="138" spans="1:22" x14ac:dyDescent="0.25">
      <c r="P138" s="116" t="s">
        <v>172</v>
      </c>
      <c r="Q138" s="59">
        <f>SUM(O4:O131)*12</f>
        <v>83820</v>
      </c>
      <c r="R138" s="65">
        <f>Q138</f>
        <v>83820</v>
      </c>
      <c r="S138" s="65">
        <f t="shared" ref="S138:U138" si="125">R138</f>
        <v>83820</v>
      </c>
      <c r="T138" s="65">
        <f t="shared" si="125"/>
        <v>83820</v>
      </c>
      <c r="U138" s="65">
        <f t="shared" si="125"/>
        <v>83820</v>
      </c>
      <c r="V138" s="110">
        <f>SUM(Q138:U138)</f>
        <v>419100</v>
      </c>
    </row>
    <row r="139" spans="1:22" x14ac:dyDescent="0.25">
      <c r="P139" s="116" t="s">
        <v>167</v>
      </c>
      <c r="Q139" s="59">
        <f>P136</f>
        <v>77496.823333333319</v>
      </c>
      <c r="R139" s="59">
        <f t="shared" ref="R139:U139" si="126">Q136</f>
        <v>70888.823333333334</v>
      </c>
      <c r="S139" s="59">
        <f t="shared" si="126"/>
        <v>70888.823333333334</v>
      </c>
      <c r="T139" s="59">
        <f t="shared" si="126"/>
        <v>42998.333333333336</v>
      </c>
      <c r="U139" s="59">
        <f t="shared" si="126"/>
        <v>42685.533333333333</v>
      </c>
      <c r="V139" s="110">
        <f t="shared" ref="V139:V141" si="127">SUM(Q139:U139)</f>
        <v>304958.33666666667</v>
      </c>
    </row>
    <row r="140" spans="1:22" x14ac:dyDescent="0.25">
      <c r="P140" s="116" t="s">
        <v>184</v>
      </c>
      <c r="Q140" s="59">
        <v>0</v>
      </c>
      <c r="R140" s="59">
        <v>0</v>
      </c>
      <c r="S140" s="59">
        <v>0</v>
      </c>
      <c r="T140" s="59">
        <f t="shared" ref="T140:U140" si="128">S135</f>
        <v>0</v>
      </c>
      <c r="U140" s="59">
        <f t="shared" si="128"/>
        <v>0</v>
      </c>
      <c r="V140" s="110">
        <f t="shared" si="127"/>
        <v>0</v>
      </c>
    </row>
    <row r="141" spans="1:22" ht="15.75" thickBot="1" x14ac:dyDescent="0.3">
      <c r="P141" s="117" t="s">
        <v>178</v>
      </c>
      <c r="Q141" s="107">
        <f>P134</f>
        <v>6093.2500000000018</v>
      </c>
      <c r="R141" s="107">
        <f t="shared" ref="R141:U141" si="129">Q134</f>
        <v>6093.2500000000018</v>
      </c>
      <c r="S141" s="107">
        <f t="shared" si="129"/>
        <v>6093.2500000000018</v>
      </c>
      <c r="T141" s="107">
        <f t="shared" si="129"/>
        <v>6093.2500000000018</v>
      </c>
      <c r="U141" s="107">
        <f t="shared" si="129"/>
        <v>6093.2500000000018</v>
      </c>
      <c r="V141" s="111">
        <f t="shared" si="127"/>
        <v>30466.250000000007</v>
      </c>
    </row>
    <row r="142" spans="1:22" ht="15.75" thickTop="1" x14ac:dyDescent="0.25">
      <c r="P142" s="116" t="s">
        <v>173</v>
      </c>
      <c r="Q142" s="80">
        <f>Q138-Q139-Q140-Q141</f>
        <v>229.92666666667901</v>
      </c>
      <c r="R142" s="80">
        <f>R138-R139-R140-R141</f>
        <v>6837.9266666666645</v>
      </c>
      <c r="S142" s="80">
        <f t="shared" ref="S142:V142" si="130">S138-S139-S140-S141</f>
        <v>6837.9266666666645</v>
      </c>
      <c r="T142" s="80">
        <f t="shared" si="130"/>
        <v>34728.416666666664</v>
      </c>
      <c r="U142" s="80">
        <f t="shared" si="130"/>
        <v>35041.216666666667</v>
      </c>
      <c r="V142" s="108">
        <f t="shared" si="130"/>
        <v>83675.41333333333</v>
      </c>
    </row>
    <row r="143" spans="1:22" x14ac:dyDescent="0.25">
      <c r="P143" s="116" t="s">
        <v>174</v>
      </c>
      <c r="Q143" s="106">
        <f>Q142/Q138</f>
        <v>2.7431002942815441E-3</v>
      </c>
      <c r="R143" s="106">
        <f>R142/R138</f>
        <v>8.1578700389723979E-2</v>
      </c>
      <c r="S143" s="106">
        <f t="shared" ref="S143:V143" si="131">S142/S138</f>
        <v>8.1578700389723979E-2</v>
      </c>
      <c r="T143" s="106">
        <f t="shared" si="131"/>
        <v>0.41432136323868607</v>
      </c>
      <c r="U143" s="106">
        <f t="shared" si="131"/>
        <v>0.41805316949017735</v>
      </c>
      <c r="V143" s="109">
        <f t="shared" si="131"/>
        <v>0.19965500676051856</v>
      </c>
    </row>
  </sheetData>
  <mergeCells count="8">
    <mergeCell ref="B126:C126"/>
    <mergeCell ref="B132:C132"/>
    <mergeCell ref="B37:C37"/>
    <mergeCell ref="B54:C54"/>
    <mergeCell ref="B68:C68"/>
    <mergeCell ref="B83:C83"/>
    <mergeCell ref="B109:C109"/>
    <mergeCell ref="B117:C11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Instruments</vt:lpstr>
      <vt:lpstr>AF</vt:lpstr>
      <vt:lpstr>Instruments v.2</vt:lpstr>
    </vt:vector>
  </TitlesOfParts>
  <Company>F. Hoffmann-La Roche,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Baltusis, Eimantas {DEEB~Vilnius}</dc:creator>
  <cp:lastModifiedBy>Baltusis, Eimantas {DEEB~Vilnius}</cp:lastModifiedBy>
  <dcterms:created xsi:type="dcterms:W3CDTF">2015-12-10T18:05:19Z</dcterms:created>
  <dcterms:modified xsi:type="dcterms:W3CDTF">2015-12-20T16:00:18Z</dcterms:modified>
</cp:coreProperties>
</file>