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C:\Users\a.lodaite\Desktop\PIRKIMAI\Panevėžio ligoninė\11030_Reagentai_biochemija (kartojamas)\Sutartis pasirasymui_UAB Bioeksma\"/>
    </mc:Choice>
  </mc:AlternateContent>
  <xr:revisionPtr revIDLastSave="0" documentId="13_ncr:1_{D8DAC91D-00B8-4CCE-BAEA-320761186C1F}" xr6:coauthVersionLast="47" xr6:coauthVersionMax="47" xr10:uidLastSave="{00000000-0000-0000-0000-000000000000}"/>
  <bookViews>
    <workbookView xWindow="-108" yWindow="-108" windowWidth="23256" windowHeight="12456" xr2:uid="{00000000-000D-0000-FFFF-FFFF00000000}"/>
  </bookViews>
  <sheets>
    <sheet name="Pasiūlyma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4" i="3" l="1"/>
  <c r="U145" i="3"/>
  <c r="U146" i="3"/>
  <c r="U143" i="3"/>
  <c r="O230" i="3"/>
  <c r="V230" i="3" s="1"/>
  <c r="O232" i="3"/>
  <c r="N232" i="3" s="1"/>
  <c r="O231" i="3"/>
  <c r="V231" i="3" s="1"/>
  <c r="U97" i="3"/>
  <c r="U98" i="3"/>
  <c r="U99" i="3"/>
  <c r="U96" i="3"/>
  <c r="U91" i="3"/>
  <c r="U92" i="3"/>
  <c r="U93" i="3"/>
  <c r="U90" i="3"/>
  <c r="U85" i="3"/>
  <c r="U86" i="3"/>
  <c r="U87" i="3"/>
  <c r="U84" i="3"/>
  <c r="U80" i="3"/>
  <c r="U81" i="3"/>
  <c r="U79" i="3"/>
  <c r="U75" i="3"/>
  <c r="U76" i="3"/>
  <c r="U74" i="3"/>
  <c r="U77" i="3" s="1"/>
  <c r="U69" i="3"/>
  <c r="U70" i="3"/>
  <c r="U71" i="3"/>
  <c r="U68" i="3"/>
  <c r="U63" i="3"/>
  <c r="U64" i="3"/>
  <c r="U65" i="3"/>
  <c r="U62" i="3"/>
  <c r="U56" i="3"/>
  <c r="U57" i="3"/>
  <c r="U58" i="3"/>
  <c r="U59" i="3"/>
  <c r="U55" i="3"/>
  <c r="U50" i="3"/>
  <c r="U51" i="3"/>
  <c r="U52" i="3"/>
  <c r="U49" i="3"/>
  <c r="U44" i="3"/>
  <c r="U45" i="3"/>
  <c r="U46" i="3"/>
  <c r="U43" i="3"/>
  <c r="U38" i="3"/>
  <c r="U39" i="3"/>
  <c r="U40" i="3"/>
  <c r="U37" i="3"/>
  <c r="U32" i="3"/>
  <c r="U33" i="3"/>
  <c r="U34" i="3"/>
  <c r="U31" i="3"/>
  <c r="U200" i="3"/>
  <c r="U201" i="3"/>
  <c r="U202" i="3"/>
  <c r="U194" i="3"/>
  <c r="U195" i="3"/>
  <c r="U196" i="3"/>
  <c r="U188" i="3"/>
  <c r="U189" i="3"/>
  <c r="U190" i="3"/>
  <c r="U181" i="3"/>
  <c r="U184" i="3"/>
  <c r="U182" i="3"/>
  <c r="U183" i="3"/>
  <c r="U175" i="3"/>
  <c r="U176" i="3"/>
  <c r="U177" i="3"/>
  <c r="U178" i="3"/>
  <c r="U168" i="3"/>
  <c r="U169" i="3"/>
  <c r="U170" i="3"/>
  <c r="U171" i="3"/>
  <c r="U162" i="3"/>
  <c r="U163" i="3"/>
  <c r="U164" i="3"/>
  <c r="U156" i="3"/>
  <c r="U157" i="3"/>
  <c r="U158" i="3"/>
  <c r="U150" i="3"/>
  <c r="U151" i="3"/>
  <c r="U152" i="3"/>
  <c r="U220" i="3"/>
  <c r="B234" i="3"/>
  <c r="U228" i="3"/>
  <c r="U229" i="3"/>
  <c r="U233" i="3" s="1"/>
  <c r="U230" i="3"/>
  <c r="U231" i="3"/>
  <c r="U232" i="3"/>
  <c r="U227" i="3"/>
  <c r="O228" i="3"/>
  <c r="V228" i="3" s="1"/>
  <c r="O229" i="3"/>
  <c r="V229" i="3" s="1"/>
  <c r="O227" i="3"/>
  <c r="N227" i="3" s="1"/>
  <c r="O56" i="3"/>
  <c r="N56" i="3" s="1"/>
  <c r="S205" i="3"/>
  <c r="O220" i="3"/>
  <c r="N220" i="3" s="1"/>
  <c r="U216" i="3"/>
  <c r="U217" i="3"/>
  <c r="U206" i="3"/>
  <c r="U207" i="3"/>
  <c r="U208" i="3"/>
  <c r="U209" i="3"/>
  <c r="U210" i="3"/>
  <c r="U211" i="3"/>
  <c r="U212" i="3"/>
  <c r="U213" i="3"/>
  <c r="U214" i="3"/>
  <c r="U215" i="3"/>
  <c r="U205" i="3"/>
  <c r="S199" i="3"/>
  <c r="O215" i="3"/>
  <c r="N215" i="3" s="1"/>
  <c r="O214" i="3"/>
  <c r="N214" i="3" s="1"/>
  <c r="O213" i="3"/>
  <c r="N213" i="3" s="1"/>
  <c r="O217" i="3"/>
  <c r="N217" i="3" s="1"/>
  <c r="O216" i="3"/>
  <c r="N216" i="3" s="1"/>
  <c r="O206" i="3"/>
  <c r="N206" i="3" s="1"/>
  <c r="O207" i="3"/>
  <c r="N207" i="3" s="1"/>
  <c r="O208" i="3"/>
  <c r="N208" i="3" s="1"/>
  <c r="O209" i="3"/>
  <c r="N209" i="3" s="1"/>
  <c r="O210" i="3"/>
  <c r="N210" i="3" s="1"/>
  <c r="O211" i="3"/>
  <c r="N211" i="3" s="1"/>
  <c r="O212" i="3"/>
  <c r="N212" i="3" s="1"/>
  <c r="O205" i="3"/>
  <c r="N205" i="3" s="1"/>
  <c r="U199" i="3"/>
  <c r="T199" i="3"/>
  <c r="R199" i="3"/>
  <c r="O202" i="3"/>
  <c r="N202" i="3" s="1"/>
  <c r="O201" i="3"/>
  <c r="N201" i="3" s="1"/>
  <c r="O200" i="3"/>
  <c r="N200" i="3" s="1"/>
  <c r="O199" i="3"/>
  <c r="N199" i="3" s="1"/>
  <c r="T193" i="3"/>
  <c r="U193" i="3"/>
  <c r="U197" i="3" s="1"/>
  <c r="S193" i="3"/>
  <c r="R193" i="3"/>
  <c r="O193" i="3"/>
  <c r="N193" i="3" s="1"/>
  <c r="O196" i="3"/>
  <c r="N196" i="3" s="1"/>
  <c r="O195" i="3"/>
  <c r="N195" i="3" s="1"/>
  <c r="O194" i="3"/>
  <c r="N194" i="3" s="1"/>
  <c r="U187" i="3"/>
  <c r="T187" i="3"/>
  <c r="R187" i="3"/>
  <c r="S187" i="3" s="1"/>
  <c r="O190" i="3"/>
  <c r="N190" i="3" s="1"/>
  <c r="O189" i="3"/>
  <c r="N189" i="3" s="1"/>
  <c r="O188" i="3"/>
  <c r="N188" i="3" s="1"/>
  <c r="O187" i="3"/>
  <c r="N187" i="3" s="1"/>
  <c r="T181" i="3"/>
  <c r="S181" i="3"/>
  <c r="O181" i="3"/>
  <c r="N181" i="3" s="1"/>
  <c r="O184" i="3"/>
  <c r="N184" i="3" s="1"/>
  <c r="O183" i="3"/>
  <c r="N183" i="3" s="1"/>
  <c r="O182" i="3"/>
  <c r="N182" i="3" s="1"/>
  <c r="U174" i="3"/>
  <c r="S174" i="3"/>
  <c r="R174" i="3"/>
  <c r="R181" i="3" s="1"/>
  <c r="O178" i="3"/>
  <c r="N178" i="3" s="1"/>
  <c r="O177" i="3"/>
  <c r="N177" i="3" s="1"/>
  <c r="O176" i="3"/>
  <c r="N176" i="3" s="1"/>
  <c r="O175" i="3"/>
  <c r="N175" i="3" s="1"/>
  <c r="O174" i="3"/>
  <c r="N174" i="3" s="1"/>
  <c r="O171" i="3"/>
  <c r="N171" i="3" s="1"/>
  <c r="O170" i="3"/>
  <c r="N170" i="3" s="1"/>
  <c r="O169" i="3"/>
  <c r="N169" i="3" s="1"/>
  <c r="O168" i="3"/>
  <c r="N168" i="3" s="1"/>
  <c r="U167" i="3"/>
  <c r="S167" i="3"/>
  <c r="R167" i="3"/>
  <c r="O167" i="3"/>
  <c r="N167" i="3" s="1"/>
  <c r="U161" i="3"/>
  <c r="T161" i="3"/>
  <c r="S161" i="3"/>
  <c r="R161" i="3"/>
  <c r="O164" i="3"/>
  <c r="N164" i="3" s="1"/>
  <c r="O163" i="3"/>
  <c r="N163" i="3" s="1"/>
  <c r="O162" i="3"/>
  <c r="N162" i="3" s="1"/>
  <c r="O161" i="3"/>
  <c r="N161" i="3" s="1"/>
  <c r="T155" i="3"/>
  <c r="U155" i="3"/>
  <c r="S155" i="3"/>
  <c r="R155" i="3"/>
  <c r="O158" i="3"/>
  <c r="N158" i="3" s="1"/>
  <c r="O157" i="3"/>
  <c r="N157" i="3" s="1"/>
  <c r="O156" i="3"/>
  <c r="N156" i="3" s="1"/>
  <c r="O155" i="3"/>
  <c r="N155" i="3" s="1"/>
  <c r="O152" i="3"/>
  <c r="N152" i="3" s="1"/>
  <c r="O151" i="3"/>
  <c r="N151" i="3" s="1"/>
  <c r="O150" i="3"/>
  <c r="N150" i="3" s="1"/>
  <c r="U149" i="3"/>
  <c r="S149" i="3"/>
  <c r="R149" i="3"/>
  <c r="O149" i="3"/>
  <c r="V149" i="3" s="1"/>
  <c r="O146" i="3"/>
  <c r="N146" i="3" s="1"/>
  <c r="O145" i="3"/>
  <c r="N145" i="3" s="1"/>
  <c r="O144" i="3"/>
  <c r="N144" i="3" s="1"/>
  <c r="T143" i="3"/>
  <c r="S143" i="3"/>
  <c r="R143" i="3"/>
  <c r="O143" i="3"/>
  <c r="V143" i="3" s="1"/>
  <c r="U138" i="3"/>
  <c r="U139" i="3"/>
  <c r="U140" i="3"/>
  <c r="O140" i="3"/>
  <c r="N140" i="3" s="1"/>
  <c r="O139" i="3"/>
  <c r="N139" i="3" s="1"/>
  <c r="O138" i="3"/>
  <c r="N138" i="3" s="1"/>
  <c r="O137" i="3"/>
  <c r="N137" i="3" s="1"/>
  <c r="U137" i="3"/>
  <c r="S137" i="3"/>
  <c r="R137" i="3"/>
  <c r="U131" i="3"/>
  <c r="U132" i="3"/>
  <c r="U133" i="3"/>
  <c r="U134" i="3"/>
  <c r="U130" i="3"/>
  <c r="O134" i="3"/>
  <c r="N134" i="3" s="1"/>
  <c r="O133" i="3"/>
  <c r="N133" i="3" s="1"/>
  <c r="O132" i="3"/>
  <c r="N132" i="3" s="1"/>
  <c r="O131" i="3"/>
  <c r="V131" i="3" s="1"/>
  <c r="S130" i="3"/>
  <c r="R130" i="3"/>
  <c r="O130" i="3"/>
  <c r="N130" i="3" s="1"/>
  <c r="U124" i="3"/>
  <c r="U125" i="3"/>
  <c r="U126" i="3"/>
  <c r="U127" i="3"/>
  <c r="O127" i="3"/>
  <c r="N127" i="3" s="1"/>
  <c r="O126" i="3"/>
  <c r="N126" i="3" s="1"/>
  <c r="O125" i="3"/>
  <c r="N125" i="3" s="1"/>
  <c r="O124" i="3"/>
  <c r="N124" i="3" s="1"/>
  <c r="U123" i="3"/>
  <c r="S123" i="3"/>
  <c r="R123" i="3"/>
  <c r="O123" i="3"/>
  <c r="V123" i="3" s="1"/>
  <c r="U117" i="3"/>
  <c r="U118" i="3"/>
  <c r="U119" i="3"/>
  <c r="U120" i="3"/>
  <c r="U110" i="3"/>
  <c r="U111" i="3"/>
  <c r="U112" i="3"/>
  <c r="U113" i="3"/>
  <c r="O120" i="3"/>
  <c r="V120" i="3" s="1"/>
  <c r="O119" i="3"/>
  <c r="V119" i="3" s="1"/>
  <c r="O118" i="3"/>
  <c r="V118" i="3" s="1"/>
  <c r="O117" i="3"/>
  <c r="N117" i="3" s="1"/>
  <c r="U116" i="3"/>
  <c r="S116" i="3"/>
  <c r="R116" i="3"/>
  <c r="O116" i="3"/>
  <c r="V116" i="3" s="1"/>
  <c r="O113" i="3"/>
  <c r="N113" i="3" s="1"/>
  <c r="O112" i="3"/>
  <c r="N112" i="3" s="1"/>
  <c r="O111" i="3"/>
  <c r="N111" i="3" s="1"/>
  <c r="O110" i="3"/>
  <c r="N110" i="3" s="1"/>
  <c r="U109" i="3"/>
  <c r="O109" i="3"/>
  <c r="V109" i="3" s="1"/>
  <c r="R109" i="3"/>
  <c r="S109" i="3"/>
  <c r="U222" i="3"/>
  <c r="O222" i="3"/>
  <c r="V222" i="3" s="1"/>
  <c r="U103" i="3"/>
  <c r="U104" i="3"/>
  <c r="U105" i="3"/>
  <c r="U106" i="3"/>
  <c r="U102" i="3"/>
  <c r="S13" i="3"/>
  <c r="S102" i="3"/>
  <c r="O104" i="3"/>
  <c r="N104" i="3" s="1"/>
  <c r="O105" i="3"/>
  <c r="N105" i="3" s="1"/>
  <c r="O106" i="3"/>
  <c r="N106" i="3" s="1"/>
  <c r="O103" i="3"/>
  <c r="N103" i="3" s="1"/>
  <c r="R102" i="3"/>
  <c r="O102" i="3"/>
  <c r="N102" i="3" s="1"/>
  <c r="T96" i="3"/>
  <c r="O96" i="3"/>
  <c r="N96" i="3" s="1"/>
  <c r="R96" i="3"/>
  <c r="S96" i="3"/>
  <c r="O99" i="3"/>
  <c r="N99" i="3" s="1"/>
  <c r="O98" i="3"/>
  <c r="N98" i="3" s="1"/>
  <c r="O97" i="3"/>
  <c r="N97" i="3" s="1"/>
  <c r="U26" i="3"/>
  <c r="U27" i="3"/>
  <c r="U28" i="3"/>
  <c r="U25" i="3"/>
  <c r="U20" i="3"/>
  <c r="U21" i="3"/>
  <c r="U22" i="3"/>
  <c r="U19" i="3"/>
  <c r="U14" i="3"/>
  <c r="U15" i="3"/>
  <c r="U16" i="3"/>
  <c r="U13" i="3"/>
  <c r="T90" i="3"/>
  <c r="R90" i="3"/>
  <c r="S90" i="3" s="1"/>
  <c r="O90" i="3"/>
  <c r="N90" i="3" s="1"/>
  <c r="O93" i="3"/>
  <c r="N93" i="3" s="1"/>
  <c r="O92" i="3"/>
  <c r="N92" i="3" s="1"/>
  <c r="O91" i="3"/>
  <c r="N91" i="3" s="1"/>
  <c r="T84" i="3"/>
  <c r="O85" i="3"/>
  <c r="N85" i="3" s="1"/>
  <c r="O86" i="3"/>
  <c r="N86" i="3" s="1"/>
  <c r="O87" i="3"/>
  <c r="N87" i="3" s="1"/>
  <c r="O84" i="3"/>
  <c r="N84" i="3" s="1"/>
  <c r="S84" i="3"/>
  <c r="R84" i="3"/>
  <c r="S79" i="3"/>
  <c r="R79" i="3"/>
  <c r="O80" i="3"/>
  <c r="N80" i="3" s="1"/>
  <c r="O81" i="3"/>
  <c r="N81" i="3" s="1"/>
  <c r="O79" i="3"/>
  <c r="N79" i="3" s="1"/>
  <c r="O74" i="3"/>
  <c r="N74" i="3" s="1"/>
  <c r="S74" i="3"/>
  <c r="R74" i="3"/>
  <c r="O76" i="3"/>
  <c r="N76" i="3" s="1"/>
  <c r="O75" i="3"/>
  <c r="N75" i="3" s="1"/>
  <c r="O71" i="3"/>
  <c r="N71" i="3" s="1"/>
  <c r="O70" i="3"/>
  <c r="N70" i="3" s="1"/>
  <c r="O69" i="3"/>
  <c r="N69" i="3" s="1"/>
  <c r="T68" i="3"/>
  <c r="S68" i="3"/>
  <c r="R68" i="3"/>
  <c r="O68" i="3"/>
  <c r="N68" i="3" s="1"/>
  <c r="O65" i="3"/>
  <c r="N65" i="3" s="1"/>
  <c r="O64" i="3"/>
  <c r="N64" i="3" s="1"/>
  <c r="O63" i="3"/>
  <c r="N63" i="3" s="1"/>
  <c r="O62" i="3"/>
  <c r="N62" i="3" s="1"/>
  <c r="O55" i="3"/>
  <c r="N55" i="3" s="1"/>
  <c r="S55" i="3"/>
  <c r="S62" i="3" s="1"/>
  <c r="R55" i="3"/>
  <c r="R62" i="3" s="1"/>
  <c r="O59" i="3"/>
  <c r="N59" i="3" s="1"/>
  <c r="O58" i="3"/>
  <c r="N58" i="3" s="1"/>
  <c r="O57" i="3"/>
  <c r="N57" i="3" s="1"/>
  <c r="T49" i="3"/>
  <c r="R49" i="3"/>
  <c r="S49" i="3" s="1"/>
  <c r="T43" i="3"/>
  <c r="S43" i="3"/>
  <c r="T37" i="3"/>
  <c r="S37" i="3"/>
  <c r="R37" i="3"/>
  <c r="R43" i="3" s="1"/>
  <c r="T31" i="3"/>
  <c r="S31" i="3"/>
  <c r="S25" i="3"/>
  <c r="R25" i="3"/>
  <c r="R31" i="3" s="1"/>
  <c r="S19" i="3"/>
  <c r="R19" i="3"/>
  <c r="R13" i="3"/>
  <c r="O52" i="3"/>
  <c r="N52" i="3" s="1"/>
  <c r="O51" i="3"/>
  <c r="N51" i="3" s="1"/>
  <c r="O50" i="3"/>
  <c r="N50" i="3" s="1"/>
  <c r="O49" i="3"/>
  <c r="N49" i="3" s="1"/>
  <c r="O37" i="3"/>
  <c r="N37" i="3" s="1"/>
  <c r="O40" i="3"/>
  <c r="N40" i="3" s="1"/>
  <c r="O39" i="3"/>
  <c r="N39" i="3" s="1"/>
  <c r="O38" i="3"/>
  <c r="N38" i="3" s="1"/>
  <c r="O46" i="3"/>
  <c r="N46" i="3" s="1"/>
  <c r="O45" i="3"/>
  <c r="N45" i="3" s="1"/>
  <c r="O44" i="3"/>
  <c r="N44" i="3" s="1"/>
  <c r="O43" i="3"/>
  <c r="N43" i="3" s="1"/>
  <c r="O34" i="3"/>
  <c r="N34" i="3" s="1"/>
  <c r="O33" i="3"/>
  <c r="N33" i="3" s="1"/>
  <c r="O32" i="3"/>
  <c r="N32" i="3" s="1"/>
  <c r="O31" i="3"/>
  <c r="N31" i="3" s="1"/>
  <c r="O28" i="3"/>
  <c r="N28" i="3" s="1"/>
  <c r="O27" i="3"/>
  <c r="N27" i="3" s="1"/>
  <c r="O26" i="3"/>
  <c r="N26" i="3" s="1"/>
  <c r="O25" i="3"/>
  <c r="N25" i="3" s="1"/>
  <c r="O22" i="3"/>
  <c r="N22" i="3" s="1"/>
  <c r="O21" i="3"/>
  <c r="N21" i="3" s="1"/>
  <c r="O20" i="3"/>
  <c r="N20" i="3" s="1"/>
  <c r="O15" i="3"/>
  <c r="N15" i="3" s="1"/>
  <c r="O16" i="3"/>
  <c r="N16" i="3" s="1"/>
  <c r="O14" i="3"/>
  <c r="N14" i="3" s="1"/>
  <c r="O19" i="3"/>
  <c r="N19" i="3" s="1"/>
  <c r="O13" i="3"/>
  <c r="N13" i="3" s="1"/>
  <c r="U203" i="3" l="1"/>
  <c r="U191" i="3"/>
  <c r="U121" i="3"/>
  <c r="U82" i="3"/>
  <c r="U185" i="3"/>
  <c r="X223" i="3"/>
  <c r="W223" i="3"/>
  <c r="E219" i="3" s="1"/>
  <c r="U179" i="3"/>
  <c r="U153" i="3"/>
  <c r="U172" i="3"/>
  <c r="U165" i="3"/>
  <c r="U147" i="3"/>
  <c r="U141" i="3"/>
  <c r="U159" i="3"/>
  <c r="V146" i="3"/>
  <c r="U94" i="3"/>
  <c r="V145" i="3"/>
  <c r="V144" i="3"/>
  <c r="U128" i="3"/>
  <c r="U135" i="3"/>
  <c r="U114" i="3"/>
  <c r="U72" i="3"/>
  <c r="U47" i="3"/>
  <c r="U100" i="3"/>
  <c r="U60" i="3"/>
  <c r="U88" i="3"/>
  <c r="U53" i="3"/>
  <c r="U41" i="3"/>
  <c r="U66" i="3"/>
  <c r="U35" i="3"/>
  <c r="V74" i="3"/>
  <c r="V87" i="3"/>
  <c r="V99" i="3"/>
  <c r="V86" i="3"/>
  <c r="V98" i="3"/>
  <c r="V56" i="3"/>
  <c r="V85" i="3"/>
  <c r="V97" i="3"/>
  <c r="V43" i="3"/>
  <c r="V76" i="3"/>
  <c r="V75" i="3"/>
  <c r="V90" i="3"/>
  <c r="V79" i="3"/>
  <c r="V46" i="3"/>
  <c r="V63" i="3"/>
  <c r="V44" i="3"/>
  <c r="V93" i="3"/>
  <c r="V81" i="3"/>
  <c r="V92" i="3"/>
  <c r="V80" i="3"/>
  <c r="V91" i="3"/>
  <c r="V34" i="3"/>
  <c r="V71" i="3"/>
  <c r="V84" i="3"/>
  <c r="V96" i="3"/>
  <c r="V70" i="3"/>
  <c r="V37" i="3"/>
  <c r="V69" i="3"/>
  <c r="V33" i="3"/>
  <c r="V45" i="3"/>
  <c r="V59" i="3"/>
  <c r="V32" i="3"/>
  <c r="V58" i="3"/>
  <c r="V57" i="3"/>
  <c r="V49" i="3"/>
  <c r="V62" i="3"/>
  <c r="V40" i="3"/>
  <c r="V52" i="3"/>
  <c r="V39" i="3"/>
  <c r="V51" i="3"/>
  <c r="V38" i="3"/>
  <c r="V50" i="3"/>
  <c r="V65" i="3"/>
  <c r="V64" i="3"/>
  <c r="V31" i="3"/>
  <c r="V55" i="3"/>
  <c r="V68" i="3"/>
  <c r="V156" i="3"/>
  <c r="V227" i="3"/>
  <c r="W233" i="3"/>
  <c r="V194" i="3"/>
  <c r="V188" i="3"/>
  <c r="V220" i="3"/>
  <c r="V195" i="3"/>
  <c r="V151" i="3"/>
  <c r="V178" i="3"/>
  <c r="V201" i="3"/>
  <c r="V200" i="3"/>
  <c r="V164" i="3"/>
  <c r="V177" i="3"/>
  <c r="V163" i="3"/>
  <c r="V176" i="3"/>
  <c r="V162" i="3"/>
  <c r="V175" i="3"/>
  <c r="V196" i="3"/>
  <c r="V152" i="3"/>
  <c r="V184" i="3"/>
  <c r="V150" i="3"/>
  <c r="V183" i="3"/>
  <c r="V171" i="3"/>
  <c r="V182" i="3"/>
  <c r="V170" i="3"/>
  <c r="V169" i="3"/>
  <c r="V202" i="3"/>
  <c r="V158" i="3"/>
  <c r="V168" i="3"/>
  <c r="V157" i="3"/>
  <c r="V190" i="3"/>
  <c r="V189" i="3"/>
  <c r="N231" i="3"/>
  <c r="N229" i="3"/>
  <c r="N228" i="3"/>
  <c r="V232" i="3"/>
  <c r="N230" i="3"/>
  <c r="U218" i="3"/>
  <c r="V215" i="3"/>
  <c r="V214" i="3"/>
  <c r="V213" i="3"/>
  <c r="V205" i="3"/>
  <c r="V212" i="3"/>
  <c r="V211" i="3"/>
  <c r="V210" i="3"/>
  <c r="V209" i="3"/>
  <c r="V208" i="3"/>
  <c r="V207" i="3"/>
  <c r="V206" i="3"/>
  <c r="V217" i="3"/>
  <c r="V216" i="3"/>
  <c r="V199" i="3"/>
  <c r="V193" i="3"/>
  <c r="V181" i="3"/>
  <c r="V187" i="3"/>
  <c r="T174" i="3"/>
  <c r="V174" i="3"/>
  <c r="T167" i="3"/>
  <c r="V167" i="3"/>
  <c r="V161" i="3"/>
  <c r="V155" i="3"/>
  <c r="N149" i="3"/>
  <c r="T149" i="3"/>
  <c r="T130" i="3"/>
  <c r="V137" i="3"/>
  <c r="N143" i="3"/>
  <c r="V140" i="3"/>
  <c r="V139" i="3"/>
  <c r="V138" i="3"/>
  <c r="T137" i="3"/>
  <c r="V130" i="3"/>
  <c r="N131" i="3"/>
  <c r="V134" i="3"/>
  <c r="V133" i="3"/>
  <c r="V132" i="3"/>
  <c r="V124" i="3"/>
  <c r="V127" i="3"/>
  <c r="V126" i="3"/>
  <c r="V125" i="3"/>
  <c r="T123" i="3"/>
  <c r="N123" i="3"/>
  <c r="N118" i="3"/>
  <c r="T109" i="3"/>
  <c r="N120" i="3"/>
  <c r="T116" i="3"/>
  <c r="V113" i="3"/>
  <c r="V112" i="3"/>
  <c r="V111" i="3"/>
  <c r="V110" i="3"/>
  <c r="N116" i="3"/>
  <c r="N119" i="3"/>
  <c r="V117" i="3"/>
  <c r="V121" i="3" s="1"/>
  <c r="N109" i="3"/>
  <c r="U107" i="3"/>
  <c r="V106" i="3"/>
  <c r="V105" i="3"/>
  <c r="V104" i="3"/>
  <c r="V103" i="3"/>
  <c r="T102" i="3"/>
  <c r="V102" i="3"/>
  <c r="N222" i="3"/>
  <c r="T79" i="3"/>
  <c r="U29" i="3"/>
  <c r="V25" i="3"/>
  <c r="T19" i="3"/>
  <c r="U23" i="3"/>
  <c r="V28" i="3"/>
  <c r="V27" i="3"/>
  <c r="V26" i="3"/>
  <c r="U17" i="3"/>
  <c r="V19" i="3"/>
  <c r="V22" i="3"/>
  <c r="V21" i="3"/>
  <c r="V20" i="3"/>
  <c r="V13" i="3"/>
  <c r="V16" i="3"/>
  <c r="V15" i="3"/>
  <c r="V14" i="3"/>
  <c r="T74" i="3"/>
  <c r="T62" i="3"/>
  <c r="T55" i="3"/>
  <c r="T13" i="3"/>
  <c r="T25" i="3"/>
  <c r="U235" i="3" l="1"/>
  <c r="E186" i="3"/>
  <c r="D186" i="3" s="1"/>
  <c r="E89" i="3"/>
  <c r="D89" i="3" s="1"/>
  <c r="E42" i="3"/>
  <c r="D42" i="3" s="1"/>
  <c r="E36" i="3"/>
  <c r="D36" i="3" s="1"/>
  <c r="E142" i="3"/>
  <c r="D142" i="3" s="1"/>
  <c r="E83" i="3"/>
  <c r="D83" i="3" s="1"/>
  <c r="E180" i="3"/>
  <c r="D180" i="3" s="1"/>
  <c r="E136" i="3"/>
  <c r="D136" i="3" s="1"/>
  <c r="E78" i="3"/>
  <c r="D78" i="3" s="1"/>
  <c r="E30" i="3"/>
  <c r="D30" i="3" s="1"/>
  <c r="D219" i="3"/>
  <c r="E129" i="3"/>
  <c r="D129" i="3" s="1"/>
  <c r="E173" i="3"/>
  <c r="D173" i="3" s="1"/>
  <c r="E73" i="3"/>
  <c r="D73" i="3" s="1"/>
  <c r="E24" i="3"/>
  <c r="D24" i="3" s="1"/>
  <c r="E204" i="3"/>
  <c r="D204" i="3" s="1"/>
  <c r="E122" i="3"/>
  <c r="E18" i="3"/>
  <c r="D18" i="3" s="1"/>
  <c r="E67" i="3"/>
  <c r="D67" i="3" s="1"/>
  <c r="E166" i="3"/>
  <c r="D166" i="3" s="1"/>
  <c r="E198" i="3"/>
  <c r="D198" i="3" s="1"/>
  <c r="E108" i="3"/>
  <c r="D108" i="3" s="1"/>
  <c r="E61" i="3"/>
  <c r="D61" i="3" s="1"/>
  <c r="E12" i="3"/>
  <c r="E148" i="3"/>
  <c r="D148" i="3" s="1"/>
  <c r="E160" i="3"/>
  <c r="E101" i="3"/>
  <c r="D101" i="3" s="1"/>
  <c r="E54" i="3"/>
  <c r="D54" i="3" s="1"/>
  <c r="E192" i="3"/>
  <c r="D192" i="3" s="1"/>
  <c r="E154" i="3"/>
  <c r="D154" i="3" s="1"/>
  <c r="E95" i="3"/>
  <c r="D95" i="3" s="1"/>
  <c r="E48" i="3"/>
  <c r="D48" i="3" s="1"/>
  <c r="D122" i="3"/>
  <c r="E115" i="3"/>
  <c r="D115" i="3" s="1"/>
  <c r="V203" i="3"/>
  <c r="V191" i="3"/>
  <c r="V185" i="3"/>
  <c r="V197" i="3"/>
  <c r="V179" i="3"/>
  <c r="V77" i="3"/>
  <c r="V82" i="3"/>
  <c r="V165" i="3"/>
  <c r="V172" i="3"/>
  <c r="V147" i="3"/>
  <c r="V153" i="3"/>
  <c r="V159" i="3"/>
  <c r="V141" i="3"/>
  <c r="V128" i="3"/>
  <c r="V135" i="3"/>
  <c r="V114" i="3"/>
  <c r="V94" i="3"/>
  <c r="V88" i="3"/>
  <c r="V100" i="3"/>
  <c r="V60" i="3"/>
  <c r="V66" i="3"/>
  <c r="V72" i="3"/>
  <c r="V53" i="3"/>
  <c r="V47" i="3"/>
  <c r="V35" i="3"/>
  <c r="V41" i="3"/>
  <c r="V233" i="3"/>
  <c r="X233" i="3" s="1"/>
  <c r="G18" i="3" s="1"/>
  <c r="V218" i="3"/>
  <c r="V107" i="3"/>
  <c r="V29" i="3"/>
  <c r="V17" i="3"/>
  <c r="V23" i="3"/>
  <c r="G30" i="3" l="1"/>
  <c r="V235" i="3"/>
  <c r="E235" i="3"/>
  <c r="D12" i="3"/>
  <c r="G142" i="3"/>
  <c r="G83" i="3"/>
  <c r="G36" i="3"/>
  <c r="G180" i="3"/>
  <c r="G136" i="3"/>
  <c r="G78" i="3"/>
  <c r="G219" i="3"/>
  <c r="G129" i="3"/>
  <c r="G173" i="3"/>
  <c r="G73" i="3"/>
  <c r="G24" i="3"/>
  <c r="G204" i="3"/>
  <c r="G122" i="3"/>
  <c r="G89" i="3"/>
  <c r="G166" i="3"/>
  <c r="G67" i="3"/>
  <c r="G12" i="3"/>
  <c r="G115" i="3"/>
  <c r="G61" i="3"/>
  <c r="G42" i="3"/>
  <c r="G198" i="3"/>
  <c r="G108" i="3"/>
  <c r="G160" i="3"/>
  <c r="G54" i="3"/>
  <c r="G101" i="3"/>
  <c r="G192" i="3"/>
  <c r="G154" i="3"/>
  <c r="G95" i="3"/>
  <c r="G48" i="3"/>
  <c r="G148" i="3"/>
  <c r="G186" i="3"/>
  <c r="D160" i="3"/>
  <c r="G237" i="3" l="1"/>
  <c r="F236" i="3" s="1"/>
</calcChain>
</file>

<file path=xl/sharedStrings.xml><?xml version="1.0" encoding="utf-8"?>
<sst xmlns="http://schemas.openxmlformats.org/spreadsheetml/2006/main" count="1340" uniqueCount="604">
  <si>
    <t>/pildo tiekėjas/</t>
  </si>
  <si>
    <t>1 tyrimo įkainis,               Eur be PVM</t>
  </si>
  <si>
    <t>...</t>
  </si>
  <si>
    <t xml:space="preserve"> Eil. Nr.</t>
  </si>
  <si>
    <t>Siūlomos pakuotės įkainis, Eur be PVM</t>
  </si>
  <si>
    <t>Siūlomos pakuotės įkainis, Eur su PVM</t>
  </si>
  <si>
    <t>1.1.</t>
  </si>
  <si>
    <t>2.1.</t>
  </si>
  <si>
    <t>3.1.</t>
  </si>
  <si>
    <t>4.1.</t>
  </si>
  <si>
    <t>5.1.</t>
  </si>
  <si>
    <t>1.</t>
  </si>
  <si>
    <t>2.</t>
  </si>
  <si>
    <t>3.</t>
  </si>
  <si>
    <t>4.</t>
  </si>
  <si>
    <t>5.</t>
  </si>
  <si>
    <t>6.</t>
  </si>
  <si>
    <t>6.1.</t>
  </si>
  <si>
    <t>7.1.</t>
  </si>
  <si>
    <t>7.</t>
  </si>
  <si>
    <t>8.</t>
  </si>
  <si>
    <t>8.1.</t>
  </si>
  <si>
    <t>Siūlomas mato vienetas</t>
  </si>
  <si>
    <t>Siūlomas kiekis mato vienetais (nurodytam preliminariam tyrimų kiekiui)</t>
  </si>
  <si>
    <t>PVM dydis (taikomas pakuotei) (Eur)</t>
  </si>
  <si>
    <t>Bendra palyginamoji pasiūlymo kaina Eur be PVM:</t>
  </si>
  <si>
    <t>Bendra palyginamoji pasiūlymo kaina Eur su PVM:</t>
  </si>
  <si>
    <t>Bendra tyrimų kaina Eur be PVM</t>
  </si>
  <si>
    <t>Bendra tyrimų kaina Eur su PVM</t>
  </si>
  <si>
    <t>Reagento ir / ar papildomos priemonės apibūdinimas</t>
  </si>
  <si>
    <t>Bendras PVM Eur:</t>
  </si>
  <si>
    <t>Tyrimų pavadinimai  /                                                                       Reagentų ir / ar papildomų priemonių pavadinimai</t>
  </si>
  <si>
    <t>PVM tarifas (taikomas tyrimams) (%)</t>
  </si>
  <si>
    <t>PVM tarifas (taikomas pakuotei) (%)</t>
  </si>
  <si>
    <t>Tais atvejais, kai pagal galiojančius teisės aktus tiekėjui nereikia mokėti PVM, jis nurodo priežastis, dėl kurių PVM nemoka:</t>
  </si>
  <si>
    <t>9.</t>
  </si>
  <si>
    <t>9.1.</t>
  </si>
  <si>
    <t>10.</t>
  </si>
  <si>
    <t>10.1.</t>
  </si>
  <si>
    <t>11.</t>
  </si>
  <si>
    <t>11.1.</t>
  </si>
  <si>
    <t>12.</t>
  </si>
  <si>
    <t>12.1.</t>
  </si>
  <si>
    <t>13.</t>
  </si>
  <si>
    <t>13.1.</t>
  </si>
  <si>
    <t>14.</t>
  </si>
  <si>
    <t>14.1.</t>
  </si>
  <si>
    <t>15.</t>
  </si>
  <si>
    <t>15.1.</t>
  </si>
  <si>
    <t>1 PRIEDO „PASIŪLYMO FORMA IR TECHNINĖ SPECIFIKACIJA" PRIEDAS</t>
  </si>
  <si>
    <t>1.2. REIKALAVIMAI ĮRANGAI PANAUDAI</t>
  </si>
  <si>
    <t>1.2.</t>
  </si>
  <si>
    <t>1.3.</t>
  </si>
  <si>
    <t>1.4.</t>
  </si>
  <si>
    <t>1.5.</t>
  </si>
  <si>
    <t>1.6.</t>
  </si>
  <si>
    <t>Eil. Nr.</t>
  </si>
  <si>
    <t>Pavadinimas / techniniai parametrai</t>
  </si>
  <si>
    <t>Reikalavimų atitikimas 
(nurodoma: (1) tiekėjo siūlomos įrangos techniniai parametrai; (2) tiksli nuoroda į įrangos gamintojo techninėje dokumentacijoje nurodyto techninio parametro reikšmę (dokumento pavadinimas, puslapio numeris ir/ar pan.)  (dokumentacijoje tiksliai pažymimas techninis parametras)*</t>
  </si>
  <si>
    <t>Gamintojas, komercinis prekės pavadinimas, gamintojo katalogo Nr., gamintojo katalogo puslapio Nr.*</t>
  </si>
  <si>
    <r>
      <rPr>
        <b/>
        <sz val="12"/>
        <color theme="1"/>
        <rFont val="Times New Roman"/>
        <family val="1"/>
      </rPr>
      <t>*Tiekėjas kartu su pasiūlymu turi pateikti siūlomos įrangos gamintojo techninę dokumentaciją, įrodančią atitiktį reikalaujamiems techniniams parametrams. Dokumentai pateikiami lietuvių ir/arba anglų kalba.</t>
    </r>
    <r>
      <rPr>
        <b/>
        <i/>
        <sz val="12"/>
        <color theme="1"/>
        <rFont val="Times New Roman"/>
        <family val="1"/>
      </rPr>
      <t xml:space="preserve">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r>
  </si>
  <si>
    <t>Gamintojo deklaruojamas prekių stabilumas, atidarius pakuotę</t>
  </si>
  <si>
    <t xml:space="preserve">Siūloma pakuotė </t>
  </si>
  <si>
    <t>Kitos papildomos priemonės (pildoma tik pagal poreikį)</t>
  </si>
  <si>
    <t>1.1. REAGENTAI IR PAPILDOMOS PRIEMONĖS BIOCHMINIŲ TYRIMŲ ATLIKIMUI</t>
  </si>
  <si>
    <t>Preliminarus tyrimų skaičius per              4 mėnesius</t>
  </si>
  <si>
    <t>5 (3x4)</t>
  </si>
  <si>
    <t>15 (12+14)</t>
  </si>
  <si>
    <t>Jeigu įsigyjamam pirkimo objektui netaikomas PVM arba taikomas lengvatinis PVM tarifas, pirkimo vykdytojas apie tai informaciją turėtų nurodyti šioje formoje arba konkretaus pirkimo sąlygose: prekėms taikomas 5 proc. ir / ar 21 proc. PVM tarifas.</t>
  </si>
  <si>
    <t>ALT</t>
  </si>
  <si>
    <t>Reagentai ir/ar papildomos priemonės, reikalingos preliminariam tyrimų skaičiui per 4 mėnesius atlikti su siūloma įranga (įrašyti tikslius pavadinimus) (pildo tiekėjas pagal poreikį)</t>
  </si>
  <si>
    <t>AST</t>
  </si>
  <si>
    <t>Gamma-gliut.transf. GGT</t>
  </si>
  <si>
    <t xml:space="preserve">Šarminė fosfatazė ALP </t>
  </si>
  <si>
    <t>Bendras bilirubinas</t>
  </si>
  <si>
    <t>Tiesioginis bilirubinas</t>
  </si>
  <si>
    <t>Lipazė</t>
  </si>
  <si>
    <t>P-amilazė</t>
  </si>
  <si>
    <t>Bendras cholesterolis</t>
  </si>
  <si>
    <t>LDL cholesterolis (mažo tankio)</t>
  </si>
  <si>
    <t>HDL-Cholesterolis (didelio tankio)</t>
  </si>
  <si>
    <t>Trigliceridai</t>
  </si>
  <si>
    <t>Albuminas</t>
  </si>
  <si>
    <t>Bendras baltymas</t>
  </si>
  <si>
    <t>ß2 mikroglobulinas</t>
  </si>
  <si>
    <t>C3 komplementas</t>
  </si>
  <si>
    <t>16.</t>
  </si>
  <si>
    <t>16.1.</t>
  </si>
  <si>
    <t>17.</t>
  </si>
  <si>
    <t>17.1.</t>
  </si>
  <si>
    <t>18.</t>
  </si>
  <si>
    <t>18.1.</t>
  </si>
  <si>
    <t>19.</t>
  </si>
  <si>
    <t>19.1.</t>
  </si>
  <si>
    <t>20.</t>
  </si>
  <si>
    <t>20.1.</t>
  </si>
  <si>
    <t>Anti-Streptolizinas ASO</t>
  </si>
  <si>
    <t xml:space="preserve">C reaktyvinis baltymas </t>
  </si>
  <si>
    <t>21.</t>
  </si>
  <si>
    <t>21.1.</t>
  </si>
  <si>
    <t>22.</t>
  </si>
  <si>
    <t>22.1.</t>
  </si>
  <si>
    <t xml:space="preserve">Reumatoidinis faktorius RF </t>
  </si>
  <si>
    <t>23.</t>
  </si>
  <si>
    <t>23.1.</t>
  </si>
  <si>
    <t>24.</t>
  </si>
  <si>
    <t>24.1.</t>
  </si>
  <si>
    <t>Gliukozė plazmoje</t>
  </si>
  <si>
    <t>25.</t>
  </si>
  <si>
    <t>25.1.</t>
  </si>
  <si>
    <t>Magnis</t>
  </si>
  <si>
    <t>26.</t>
  </si>
  <si>
    <t>26.1.</t>
  </si>
  <si>
    <t>Kalcis</t>
  </si>
  <si>
    <t>27.</t>
  </si>
  <si>
    <t>27.1.</t>
  </si>
  <si>
    <t>Geležis</t>
  </si>
  <si>
    <t>28.</t>
  </si>
  <si>
    <t>28.1.</t>
  </si>
  <si>
    <t>Neorganinis fosforas</t>
  </si>
  <si>
    <t>29.</t>
  </si>
  <si>
    <t>29.1.</t>
  </si>
  <si>
    <t>Imunoglobulinas A  IGA</t>
  </si>
  <si>
    <t>30.</t>
  </si>
  <si>
    <t>30.1.</t>
  </si>
  <si>
    <t>Imunoglobulinas M  IGM</t>
  </si>
  <si>
    <t>Šlapalas (urea)</t>
  </si>
  <si>
    <t>31.</t>
  </si>
  <si>
    <t>31.1.</t>
  </si>
  <si>
    <t>Šlapimo rūgštis</t>
  </si>
  <si>
    <t>32.</t>
  </si>
  <si>
    <t>32.1.</t>
  </si>
  <si>
    <t>33.</t>
  </si>
  <si>
    <t>33.1.</t>
  </si>
  <si>
    <t>34.</t>
  </si>
  <si>
    <t>34.1.</t>
  </si>
  <si>
    <t>Kreatininas</t>
  </si>
  <si>
    <t>Kreatinkinaze</t>
  </si>
  <si>
    <t>Kalis / Natris / Chloras (serume, šlapime)</t>
  </si>
  <si>
    <t>Serumo indeksų nustatymas (Ikteriškumas, lipemija, hemolizė)</t>
  </si>
  <si>
    <t>Laktatdehidrogenazė LDH</t>
  </si>
  <si>
    <t>Reikalaujama parametro reikšmė</t>
  </si>
  <si>
    <t xml:space="preserve">Automatinis analizatorius </t>
  </si>
  <si>
    <t>Analizatoriaus našumas</t>
  </si>
  <si>
    <t>Reagentų pozicijos analizatoriuje</t>
  </si>
  <si>
    <t>Tyrimo pakartojimo galimybė</t>
  </si>
  <si>
    <t>Skubių tyrimų atlikimo galimybė</t>
  </si>
  <si>
    <t>Automatinis krešulio ir susidūrimo aptikimas. Serumo indeksų automatinis nustatymas.</t>
  </si>
  <si>
    <t>Automatinis biocheminis analizatorius su galimybe prijungti ISE modulį, STAT bandinių tyrimo galimybe.</t>
  </si>
  <si>
    <t>Ne mažiau, kaip 50 šaldomų skirtingų tyrimų R1 ir R2 reagentų pozicijų analizatoriuje vienu metu (neįskaitant ISE).</t>
  </si>
  <si>
    <t>Automatinio tyrimo pakartojimo galimybė, esant poreikiui, atskiedžiant ar koncentruojant.</t>
  </si>
  <si>
    <t xml:space="preserve">Ne mažiau 20 STAT mėginių pakrovimas nepertraukiant darbo. </t>
  </si>
  <si>
    <t>Būtina.</t>
  </si>
  <si>
    <t>1.7.</t>
  </si>
  <si>
    <t>1.8.</t>
  </si>
  <si>
    <t>1.9.</t>
  </si>
  <si>
    <t>1.10.</t>
  </si>
  <si>
    <t>1.11.</t>
  </si>
  <si>
    <t>Mėginių talpyklos</t>
  </si>
  <si>
    <t>Vandens sistema paruošianti reikiamą kiekį vandens šių tyrimų atlikimui</t>
  </si>
  <si>
    <t>Nepertraukiamo maitinimo šaltinis</t>
  </si>
  <si>
    <t>Įvairių dydžių priklausomai nuo poreikio. Mėgintuvėliai 12-15 mm diametro, mikro indeliai.</t>
  </si>
  <si>
    <t>2.2.</t>
  </si>
  <si>
    <t>2.3.</t>
  </si>
  <si>
    <t>2.4.</t>
  </si>
  <si>
    <t>2.5.</t>
  </si>
  <si>
    <t>2.6.</t>
  </si>
  <si>
    <t>2.7.</t>
  </si>
  <si>
    <t>2.8.</t>
  </si>
  <si>
    <t>2.9.</t>
  </si>
  <si>
    <t>2.10.</t>
  </si>
  <si>
    <t>2.11.</t>
  </si>
  <si>
    <t>2.12.</t>
  </si>
  <si>
    <t>Elektrolitų modulis</t>
  </si>
  <si>
    <t>Automatinis biocheminis analizatorius su ISE moduliu, STAT bandinių tyrimo galimybe.</t>
  </si>
  <si>
    <t>Būtinas, K, Na, Cl nustatymas. Elektrodai keičiami pavieniui.</t>
  </si>
  <si>
    <t>Mėginio ir reagentų identifikacija brūkšninio kodo skaitytuvo pagalba</t>
  </si>
  <si>
    <t>Turi būti galimybė analizatorių jungti prie laboratorijoje naudojamos informacinės programos</t>
  </si>
  <si>
    <t>Ne mažiau, kaip 48 šaldomų skirtingų tyrimų R1 ir R2 reagentų pozicijų analizatoriuje vienu metu (neįskaitant ISE).</t>
  </si>
  <si>
    <t>35.</t>
  </si>
  <si>
    <t>35.1.</t>
  </si>
  <si>
    <t xml:space="preserve">Vandens sistemos paruošimo papildomos priemonės, reikalingos tyrimų atlikimui </t>
  </si>
  <si>
    <r>
      <rPr>
        <b/>
        <sz val="12"/>
        <color theme="1"/>
        <rFont val="Times New Roman"/>
        <family val="1"/>
      </rPr>
      <t>PASTABOS / REIKALAVIMAI PREKĖMS:</t>
    </r>
    <r>
      <rPr>
        <sz val="12"/>
        <color theme="1"/>
        <rFont val="Times New Roman"/>
        <family val="1"/>
      </rPr>
      <t xml:space="preserve">						
1. Tiekėjas privalo įvertinti ir nurodyti visas reikiamas sudedamąsias dalis tyrimams atlikti ir įrangai eksploatuoti. Pasiūlyme turi būti pateiktos visos tyrimams atlikti būtinos prekės: reagentai, kontrolinės medžiagos (atliekant kasdieninę 2 ar 3-jų lygių kokybės kontrolę (nustato gamintojas)) ir kitos papildomos priemonės nurodytam preliminariam tyrimų kiekiui atlikti per 4 mėnesius. Teikdami pasiūlymus, tiekėjai turi įvertinti, kad laboratorija dirba 24/7 nepertraukiamu režimu.                                                                                                                                                                                                                                                                                                                                                                                                                                                                                                             2. Siūlomų prekių kiekio turi pakakti nurodytam preliminariam tyrimų kiekiui atlikti per 4 mėnesius, atsižvelgiant į tyrimų skaičių ir reagentų bei papildomų priemonių galiojimo trukmę atidarius pakuotę.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3. Pristatomų reagentų / papildomų priemonių galiojimo terminas (nurodytas ant pakuotės) turi būti ne trumpesnis kaip 2/3 nuo pagaminimo datos.
4. Visos siūlomos prekės turi būti originalios, tinkamos darbui su siūloma įranga, atitinkančios tyrimo metodą. Prekės turi būti to paties gamintojo kaip ir analizatorius (-iai) arba analizatoriaus (-ių) gamintojo (-ų) rekomenduotos ir adaptuotos </t>
    </r>
    <r>
      <rPr>
        <b/>
        <sz val="12"/>
        <color theme="1"/>
        <rFont val="Times New Roman"/>
        <family val="1"/>
      </rPr>
      <t>(tiekėjas kartu su pasiūlymu turi pateikti tai patvirtinančius prekių ir analizatoriaus (-ių) gamintojo (-ų) patvirtinimus arba kitus lygiaverčius dokumentus)</t>
    </r>
    <r>
      <rPr>
        <sz val="12"/>
        <color theme="1"/>
        <rFont val="Times New Roman"/>
        <family val="1"/>
      </rPr>
      <t xml:space="preserve">.                                                                                                                                                                                                                                                                                                                      
5. Tiekėjai, apskaičiuodami tyrimų įkainius, turi įvertinti tiekėjų siūlomų reagentų / papildomų priemonių tyrimams atlikti įkainius ir kiekius.
6. Bendra palyginamoji pasiūlymo kaina naudojama tik tiekėjų pasiūlymų įvertinimui. Lentelėje nurodyti preliminarūs kiekiai, naudojami pasiūlymų vertinime, nebus laikomi maksimaliais. Pradinės sutarties vertė lygi maksimaliai pirkimui skirtai lėšų sumai be PVM.                                                                                                                                         
7. </t>
    </r>
    <r>
      <rPr>
        <b/>
        <sz val="12"/>
        <color theme="1"/>
        <rFont val="Times New Roman"/>
        <family val="1"/>
      </rPr>
      <t>*Tiekėjas kartu su pasiūlymu turi pateikti siūlomų prekių gamintojų katalogus (prekių aprašymus).</t>
    </r>
    <r>
      <rPr>
        <sz val="12"/>
        <color theme="1"/>
        <rFont val="Times New Roman"/>
        <family val="1"/>
      </rPr>
      <t xml:space="preserve"> </t>
    </r>
    <r>
      <rPr>
        <b/>
        <sz val="12"/>
        <color theme="1"/>
        <rFont val="Times New Roman"/>
        <family val="1"/>
      </rPr>
      <t>Prekių katalogai (prekių aprašymai) pateikiami lietuvių ir/arba anglų kalba.</t>
    </r>
  </si>
  <si>
    <t>Ne mažiau 800 tyrimų per val.</t>
  </si>
  <si>
    <t>Tiekėjas, pateikdamas pasiūlymą, deklaruoja, kad atitinka šį reikalavimą ir dėl šio reikalavimo gamintojo techninės dokumentacijos nereikalaujama pateikti.</t>
  </si>
  <si>
    <t>pak.</t>
  </si>
  <si>
    <t>30d.</t>
  </si>
  <si>
    <t>4x960 testų</t>
  </si>
  <si>
    <t>ALT IFCC</t>
  </si>
  <si>
    <t>AST IFCC</t>
  </si>
  <si>
    <t>Beckman Coulter, AST OSR6109 8psl.</t>
  </si>
  <si>
    <t>Beckman Coulter, ALT OSR6107 6psl.</t>
  </si>
  <si>
    <t>4x1020 testų</t>
  </si>
  <si>
    <t>System Calibrator</t>
  </si>
  <si>
    <t>Control Serum Lev. 1</t>
  </si>
  <si>
    <t>Control Serum Lev. 2</t>
  </si>
  <si>
    <t>Kalibratorius</t>
  </si>
  <si>
    <t>Kontr. Serumas</t>
  </si>
  <si>
    <t>20x5ml</t>
  </si>
  <si>
    <t>Beckman Coulter, System Calibrator OE66300 6psl.</t>
  </si>
  <si>
    <t>Beckman Coulter, Control Serum Lev. 1 ODC0003 6psl.</t>
  </si>
  <si>
    <t>Beckman Coulter, Control Serum Lev. 2 ODC0004 6psl.</t>
  </si>
  <si>
    <t>Beckman Coulter, System Calibrator OE66300 8psl.</t>
  </si>
  <si>
    <t>Beckman Coulter, Control Serum Lev. 1 ODC0003 8psl.</t>
  </si>
  <si>
    <t>Beckman Coulter, Control Serum Lev. 2 ODC0004 8psl.</t>
  </si>
  <si>
    <t>3.2.</t>
  </si>
  <si>
    <t>3.3.</t>
  </si>
  <si>
    <t>3.4.</t>
  </si>
  <si>
    <t>GGT IFCC</t>
  </si>
  <si>
    <t>4x650 testų</t>
  </si>
  <si>
    <t>Beckman Coulter, GGT OSR6120 13psl.</t>
  </si>
  <si>
    <t>Beckman Coulter, System Calibrator OE66300 13psl.</t>
  </si>
  <si>
    <t>Beckman Coulter, Control Serum Lev. 1 ODC0003 13psl.</t>
  </si>
  <si>
    <t>Beckman Coulter, Control Serum Lev. 2 ODC0004 13psl.</t>
  </si>
  <si>
    <t>ALP IFCC</t>
  </si>
  <si>
    <t>4x1450 testų</t>
  </si>
  <si>
    <t>14d.</t>
  </si>
  <si>
    <t>Beckman Coulter, ALP OSR6204 7psl.</t>
  </si>
  <si>
    <t>Beckman Coulter, System Calibrator OE66300 7psl.</t>
  </si>
  <si>
    <t>Beckman Coulter, Control Serum Lev. 1 ODC0003 7psl.</t>
  </si>
  <si>
    <t>Beckman Coulter, Control Serum Lev. 2 ODC0004 7psl.</t>
  </si>
  <si>
    <t>4.2.</t>
  </si>
  <si>
    <t>4.3.</t>
  </si>
  <si>
    <t>4.4</t>
  </si>
  <si>
    <t>Beckman Coulter, Bilirubin Direct OSR6211 12psl.</t>
  </si>
  <si>
    <t>Bil-D DPD</t>
  </si>
  <si>
    <t>21d.</t>
  </si>
  <si>
    <t>Beckman Coulter, System Calibrator OE66300 12psl.</t>
  </si>
  <si>
    <t>Beckman Coulter, Control Serum Lev. 1 ODC0003 12psl.</t>
  </si>
  <si>
    <t>Beckman Coulter, Control Serum Lev. 2 ODC0004 12psl.</t>
  </si>
  <si>
    <t>6.2.</t>
  </si>
  <si>
    <t>8.2.</t>
  </si>
  <si>
    <t>6.3.</t>
  </si>
  <si>
    <t>6.4.</t>
  </si>
  <si>
    <t>Beckman Coulter, System Calibrator OE66300 19psl.</t>
  </si>
  <si>
    <t>Beckman Coulter, Control Serum Lev. 1 ODC0003 19psl.</t>
  </si>
  <si>
    <t>Beckman Coulter, Control Serum Lev. 2 ODC0004 19psl.</t>
  </si>
  <si>
    <t>90d.</t>
  </si>
  <si>
    <t>Bil-Total DPD</t>
  </si>
  <si>
    <t>Beckman Coulter, Bilirubin Total OSR6212 19psl.</t>
  </si>
  <si>
    <t>5.2.</t>
  </si>
  <si>
    <t>5.3.</t>
  </si>
  <si>
    <t>5.4.</t>
  </si>
  <si>
    <t>LDH IFCC</t>
  </si>
  <si>
    <t>Beckman Coulter, LDH OSR6126 16psl.</t>
  </si>
  <si>
    <t>7.2.</t>
  </si>
  <si>
    <t>7.3.</t>
  </si>
  <si>
    <t>7.4.</t>
  </si>
  <si>
    <t>Beckman Coulter, System Calibrator OE66300 16psl.</t>
  </si>
  <si>
    <t>Beckman Coulter, Control Serum Lev. 1 ODC0003 16psl.</t>
  </si>
  <si>
    <t>Beckman Coulter, Control Serum Lev. 2 ODC0004 16psl.</t>
  </si>
  <si>
    <t xml:space="preserve">Testų skaičius pak. </t>
  </si>
  <si>
    <t>Reikaligas testų skaičius</t>
  </si>
  <si>
    <t>Išskaičiuotas pak. Skaičius pagal kiekį ir stabilumą</t>
  </si>
  <si>
    <t>8.3.</t>
  </si>
  <si>
    <t>8.4.</t>
  </si>
  <si>
    <t>Lipase</t>
  </si>
  <si>
    <t xml:space="preserve">pak. </t>
  </si>
  <si>
    <t>4x180 testų</t>
  </si>
  <si>
    <t>4x640 testų</t>
  </si>
  <si>
    <t xml:space="preserve">4x1570 testų </t>
  </si>
  <si>
    <t>4x780 testų</t>
  </si>
  <si>
    <t>Beckman Coulter, System Calibrator OE66300 17psl.</t>
  </si>
  <si>
    <t>Beckman Coulter, Control Serum Lev. 1 ODC0003 17psl.</t>
  </si>
  <si>
    <t>Beckman Coulter, Control Serum Lev. 2 ODC0004 17psl.</t>
  </si>
  <si>
    <t>9.2.</t>
  </si>
  <si>
    <t>9.3.</t>
  </si>
  <si>
    <t>9.4.</t>
  </si>
  <si>
    <t>P-Amylase IFCC</t>
  </si>
  <si>
    <t xml:space="preserve">Clin Chem Cal </t>
  </si>
  <si>
    <t>4x3ml</t>
  </si>
  <si>
    <t>10.2.</t>
  </si>
  <si>
    <t>10.3.</t>
  </si>
  <si>
    <t>10.4.</t>
  </si>
  <si>
    <t>Beckman Coulter, Cholesterol OSR6216 10psl.</t>
  </si>
  <si>
    <t>Beckman Coulter, System Calibrator OE66300 10psl.</t>
  </si>
  <si>
    <t>Beckman Coulter, Control Serum Lev. 1 ODC0003 10psl.</t>
  </si>
  <si>
    <t>Beckman Coulter, Control Serum Lev. 2 ODC0004 10psl.</t>
  </si>
  <si>
    <t>Cholesterol CHO-POD</t>
  </si>
  <si>
    <t>4x1830 testų</t>
  </si>
  <si>
    <t xml:space="preserve">2x320 testų </t>
  </si>
  <si>
    <t>20x5 ml</t>
  </si>
  <si>
    <t>11.2.</t>
  </si>
  <si>
    <t>11.3.</t>
  </si>
  <si>
    <t>11.4.</t>
  </si>
  <si>
    <t>LDL - Calibrator</t>
  </si>
  <si>
    <t>LDL Kalibratorius</t>
  </si>
  <si>
    <t>Beckman Coulter, LDL-Cholesterol OSR6283 15psl.</t>
  </si>
  <si>
    <t>4x350 testų</t>
  </si>
  <si>
    <t>Beckman Coulter, LDL- Calibrator ODC0012 10psl.</t>
  </si>
  <si>
    <t>3x5ml, 3x5ml</t>
  </si>
  <si>
    <t>2x1ml</t>
  </si>
  <si>
    <t>HDL&amp;LDL Control Serum Lev. 1&amp;2</t>
  </si>
  <si>
    <t>12.2.</t>
  </si>
  <si>
    <t>12.3.</t>
  </si>
  <si>
    <t>12.4.</t>
  </si>
  <si>
    <t>Beckman Coulter, HDL-Cholesterol OSR6287 14psl.</t>
  </si>
  <si>
    <t>HDL Kalibratorius</t>
  </si>
  <si>
    <t>HDL - Calibrator</t>
  </si>
  <si>
    <t>Beckman Coulter, HDL- Calibrator ODC0011 14psl.</t>
  </si>
  <si>
    <t>2x3ml</t>
  </si>
  <si>
    <t>13.2.</t>
  </si>
  <si>
    <t>13.3.</t>
  </si>
  <si>
    <t>13.4.</t>
  </si>
  <si>
    <t>Beckman Coulter, Cholesterol OSR61118 20psl.</t>
  </si>
  <si>
    <t>Beckman Coulter, System Calibrator OE66300 20psl.</t>
  </si>
  <si>
    <t>Beckman Coulter, Control Serum Lev. 1 ODC0003 20psl.</t>
  </si>
  <si>
    <t>Beckman Coulter, Control Serum Lev. 2 ODC0004 20psl.</t>
  </si>
  <si>
    <t>4x750 testų</t>
  </si>
  <si>
    <t>Beckman Coulter, Albumin OSR6102 6psl.</t>
  </si>
  <si>
    <t>14.2.</t>
  </si>
  <si>
    <t>14.3.</t>
  </si>
  <si>
    <t>14.4.</t>
  </si>
  <si>
    <t>4x845 testų</t>
  </si>
  <si>
    <t>Suma Eur. be PVM</t>
  </si>
  <si>
    <t>Suma Eur. su PVM</t>
  </si>
  <si>
    <t>Beckman Coulter,Total Protein OSR6132 19psl.</t>
  </si>
  <si>
    <t>15.2.</t>
  </si>
  <si>
    <t>15.3.</t>
  </si>
  <si>
    <t>15.4.</t>
  </si>
  <si>
    <t>ß2 mikroglobulin</t>
  </si>
  <si>
    <t>4x150 testų</t>
  </si>
  <si>
    <t>16.2.</t>
  </si>
  <si>
    <t>16.3.</t>
  </si>
  <si>
    <t>16.4.</t>
  </si>
  <si>
    <t>Beckman Coulter,ß2 mikroglobulin OSR6151 25psl.</t>
  </si>
  <si>
    <t>Serum Protein Multi Calibrator 2</t>
  </si>
  <si>
    <t>16.5.</t>
  </si>
  <si>
    <t>ITA control serum L1</t>
  </si>
  <si>
    <t>ITA control serum L2</t>
  </si>
  <si>
    <t>ITA control serum L3</t>
  </si>
  <si>
    <t>Beckman Coulter,  ITA Control Serum Lev. 1 ODC0014 25psl.</t>
  </si>
  <si>
    <t>Beckman Coulter,  ITA Control Serum Lev. 2 ODC0014 25psl.</t>
  </si>
  <si>
    <t>Beckman Coulter,  ITA Control Serum Lev. 3 ODC0014 25psl.</t>
  </si>
  <si>
    <t>6x2ml</t>
  </si>
  <si>
    <t>(level1-5)x2ml</t>
  </si>
  <si>
    <t>Jonitinis užpildas (DEMIWA miksbedas)</t>
  </si>
  <si>
    <t>L</t>
  </si>
  <si>
    <t>3 mėn.</t>
  </si>
  <si>
    <t>Watek, Jonitinis užpildas (DEMIWA miksbedas)</t>
  </si>
  <si>
    <t>Complement 3  C3</t>
  </si>
  <si>
    <t>4x260 testų</t>
  </si>
  <si>
    <t>Beckman Coulter, Complement 3 C3 OSR6159 26psl.</t>
  </si>
  <si>
    <t>Beckman Coulter,  ITA Control Serum Lev. 1 ODC0014 26psl.</t>
  </si>
  <si>
    <t>Beckman Coulter,  ITA Control Serum Lev. 2 ODC0014 26psl.</t>
  </si>
  <si>
    <t>Beckman Coulter,  ITA Control Serum Lev. 3 ODC0014 26psl.</t>
  </si>
  <si>
    <t>Beckman Coulter, Serum Protein Multi Calibrator 2 ODR3023 25psl.</t>
  </si>
  <si>
    <t>Beckman Coulter, Serum Protein Multi Calibrator 2 ODR3021 26psl.</t>
  </si>
  <si>
    <t>Serum Protein Multi Calibrator 1</t>
  </si>
  <si>
    <t>17.2.</t>
  </si>
  <si>
    <t>17.3.</t>
  </si>
  <si>
    <t>17.4.</t>
  </si>
  <si>
    <t>17.5.</t>
  </si>
  <si>
    <t>ASO</t>
  </si>
  <si>
    <t>4x250 testų</t>
  </si>
  <si>
    <t>Beckman Coulter, ASO OSR6164 24psl.</t>
  </si>
  <si>
    <t>18.2.</t>
  </si>
  <si>
    <t>18.3.</t>
  </si>
  <si>
    <t>18.4.</t>
  </si>
  <si>
    <t>18.5.</t>
  </si>
  <si>
    <t>Beckman Coulter, Serum Protein Multi Calibrator 2 ODR3021 24psl.</t>
  </si>
  <si>
    <t>Beckman Coulter,  ITA Control Serum Lev. 1 ODC0014 24psl.</t>
  </si>
  <si>
    <t>Beckman Coulter,  ITA Control Serum Lev. 2 ODC0014 24psl.</t>
  </si>
  <si>
    <t>Beckman Coulter,  ITA Control Serum Lev. 3 ODC0014 24psl.</t>
  </si>
  <si>
    <t>CRP</t>
  </si>
  <si>
    <t>Beckman Coulter, CRP OSR6299 28psl.</t>
  </si>
  <si>
    <t>4x400</t>
  </si>
  <si>
    <t>CRP calibrator</t>
  </si>
  <si>
    <t>19.2.</t>
  </si>
  <si>
    <t>26.4.</t>
  </si>
  <si>
    <t>19.3.</t>
  </si>
  <si>
    <t>19.4.</t>
  </si>
  <si>
    <t>19.5.</t>
  </si>
  <si>
    <t>RF</t>
  </si>
  <si>
    <t>Beckman Coulter, CRP calibrator ODR0026 28psl.</t>
  </si>
  <si>
    <t>Beckman Coulter,  ITA Control Serum Lev. 1 ODC0014 28psl.</t>
  </si>
  <si>
    <t>Beckman Coulter,  ITA Control Serum Lev. 2 ODC0014 28psl.</t>
  </si>
  <si>
    <t>Beckman Coulter,  ITA Control Serum Lev. 3 ODC0014 28psl.</t>
  </si>
  <si>
    <t>4x250</t>
  </si>
  <si>
    <t>Beckman Coulter, RF OSR61105 32psl.</t>
  </si>
  <si>
    <t>Calibartor RF</t>
  </si>
  <si>
    <t>Beckman Coulter, RF calibrator ODR0028 32psl.</t>
  </si>
  <si>
    <t>RF Calibrator</t>
  </si>
  <si>
    <t>CRP Calibrator</t>
  </si>
  <si>
    <t>20.2.</t>
  </si>
  <si>
    <t>20.3.</t>
  </si>
  <si>
    <t>20.4.</t>
  </si>
  <si>
    <t>20.5.</t>
  </si>
  <si>
    <t>Glucose</t>
  </si>
  <si>
    <t>Beckman Coulter, Glucose OSR6221 13psl.</t>
  </si>
  <si>
    <t>4x1300</t>
  </si>
  <si>
    <t>21.2.</t>
  </si>
  <si>
    <t>21.3.</t>
  </si>
  <si>
    <t>21.4.</t>
  </si>
  <si>
    <t>Magnesium</t>
  </si>
  <si>
    <t>Beckman Coulter, Glucose OSR6189 18psl.</t>
  </si>
  <si>
    <t>Beckman Coulter, System Calibrator OE66300 18psl.</t>
  </si>
  <si>
    <t>Beckman Coulter, Control Serum Lev. 1 ODC0003 18psl.</t>
  </si>
  <si>
    <t>Beckman Coulter, Control Serum Lev. 2 ODC0004 18psl.</t>
  </si>
  <si>
    <t>22.2</t>
  </si>
  <si>
    <t>22.3.</t>
  </si>
  <si>
    <t>22.4.</t>
  </si>
  <si>
    <t>Calcium Arsenazo</t>
  </si>
  <si>
    <t>4x1313</t>
  </si>
  <si>
    <t>90 d.</t>
  </si>
  <si>
    <t>Beckman Coulter, Calcium OSR61117 9psl.</t>
  </si>
  <si>
    <t>Beckman Coulter, System Calibrator OE66300 9psl.</t>
  </si>
  <si>
    <t>Beckman Coulter, Control Serum Lev. 1 ODC0003 9psl.</t>
  </si>
  <si>
    <t>Beckman Coulter, Control Serum Lev. 2 ODC0004 9psl.</t>
  </si>
  <si>
    <t>23.2.</t>
  </si>
  <si>
    <t>26.2.</t>
  </si>
  <si>
    <t>23.3.</t>
  </si>
  <si>
    <t>23.4.</t>
  </si>
  <si>
    <t>Beckman Coulter, IRON OSR6186 15psl.</t>
  </si>
  <si>
    <t>4x500</t>
  </si>
  <si>
    <t>Beckman Coulter, System Calibrator OE66300 15psl.</t>
  </si>
  <si>
    <t>Beckman Coulter, Control Serum Lev. 1 ODC0003 15psl.</t>
  </si>
  <si>
    <t>Beckman Coulter, Control Serum Lev. 2 ODC0004 15psl.</t>
  </si>
  <si>
    <t>60d.</t>
  </si>
  <si>
    <t>24.2.</t>
  </si>
  <si>
    <t>24.3.</t>
  </si>
  <si>
    <t>24.4.</t>
  </si>
  <si>
    <t>Phosphorus</t>
  </si>
  <si>
    <t>4x1570</t>
  </si>
  <si>
    <t>Beckman Coulter,Phosphorus OSR6122 18psl.</t>
  </si>
  <si>
    <t>25.2.</t>
  </si>
  <si>
    <t>25.3.</t>
  </si>
  <si>
    <t>25.4.</t>
  </si>
  <si>
    <t>Imunoglobulinas A</t>
  </si>
  <si>
    <t>Beckman Coulter,Imunoglobulinas A OSR61171 30psl.</t>
  </si>
  <si>
    <t>Beckman Coulter, Serum Protein Multi Calibrator 2 ODR3021 30psl.</t>
  </si>
  <si>
    <t>Beckman Coulter,  ITA Control Serum Lev. 1 ODC0014 30psl.</t>
  </si>
  <si>
    <t>Beckman Coulter,  ITA Control Serum Lev. 2 ODC0014 30psl.</t>
  </si>
  <si>
    <t>Beckman Coulter,  ITA Control Serum Lev. 3 ODC0014 30psl.</t>
  </si>
  <si>
    <t>26.3.</t>
  </si>
  <si>
    <t>26.5.</t>
  </si>
  <si>
    <t>Imunoglobulinas M</t>
  </si>
  <si>
    <t>Beckman Coulter,Imunoglobulinas A OSR61173 31psl.</t>
  </si>
  <si>
    <t>Beckman Coulter, Serum Protein Multi Calibrator 2 ODR3021 31psl.</t>
  </si>
  <si>
    <t>Beckman Coulter,  ITA Control Serum Lev. 1 ODC0014 31psl.</t>
  </si>
  <si>
    <t>Beckman Coulter,  ITA Control Serum Lev. 2 ODC0014 31psl.</t>
  </si>
  <si>
    <t>Beckman Coulter,  ITA Control Serum Lev. 3 ODC0014 31psl.</t>
  </si>
  <si>
    <t>27.2.</t>
  </si>
  <si>
    <t>27.3.</t>
  </si>
  <si>
    <t>27.4.</t>
  </si>
  <si>
    <t>27.5.</t>
  </si>
  <si>
    <t>Urea</t>
  </si>
  <si>
    <t>4x1230</t>
  </si>
  <si>
    <t>Beckman Coulter,Urea OSR6234 21psl.</t>
  </si>
  <si>
    <t>28.2</t>
  </si>
  <si>
    <t>28.3.</t>
  </si>
  <si>
    <t>28.4</t>
  </si>
  <si>
    <t>Uric Acid</t>
  </si>
  <si>
    <t>Beckman Coulter, System Calibrator OE66300 21psl.</t>
  </si>
  <si>
    <t>Beckman Coulter, Control Serum Lev. 1 ODC0003 21psl.</t>
  </si>
  <si>
    <t>Beckman Coulter, Control Serum Lev. 2 ODC0004 21psl.</t>
  </si>
  <si>
    <t>Beckman Coulter,Uric Acid OSR6198 22psl.</t>
  </si>
  <si>
    <t>Beckman Coulter, System Calibrator OE66300 22psl.</t>
  </si>
  <si>
    <t>Beckman Coulter, Control Serum Lev. 1 ODC0003 22psl.</t>
  </si>
  <si>
    <t>Beckman Coulter, Control Serum Lev. 2 ODC0004 22psl.</t>
  </si>
  <si>
    <t>29.2.</t>
  </si>
  <si>
    <t>29.3.</t>
  </si>
  <si>
    <t>29.4.</t>
  </si>
  <si>
    <t>4x625</t>
  </si>
  <si>
    <t>Creatinine</t>
  </si>
  <si>
    <t>7d.</t>
  </si>
  <si>
    <t>Creatinine Jaffe</t>
  </si>
  <si>
    <t>Beckman Coulter,Creatinine OSR6178 11psl.</t>
  </si>
  <si>
    <t>Beckman Coulter, System Calibrator OE66300 11psl.</t>
  </si>
  <si>
    <t>Beckman Coulter, Control Serum Lev. 1 ODC0003 11psl.</t>
  </si>
  <si>
    <t>Beckman Coulter, Control Serum Lev. 2 ODC0004 11psl.</t>
  </si>
  <si>
    <t>30.2.</t>
  </si>
  <si>
    <t>30.3.</t>
  </si>
  <si>
    <t>30.4.</t>
  </si>
  <si>
    <t>4x990</t>
  </si>
  <si>
    <t>31.2.</t>
  </si>
  <si>
    <t>31.3.</t>
  </si>
  <si>
    <t>32.3.</t>
  </si>
  <si>
    <t>31.4.</t>
  </si>
  <si>
    <t>4x230</t>
  </si>
  <si>
    <t>ISE Buffer</t>
  </si>
  <si>
    <t xml:space="preserve">ISE MID Standart </t>
  </si>
  <si>
    <t xml:space="preserve">ISE Reference Sol. </t>
  </si>
  <si>
    <t>ISE STD Low</t>
  </si>
  <si>
    <t>ISE STD high</t>
  </si>
  <si>
    <t xml:space="preserve">ISE Reference Int.Sol. </t>
  </si>
  <si>
    <t>ISE SELECT CHECK</t>
  </si>
  <si>
    <t>ISE  Urine standart L+H</t>
  </si>
  <si>
    <t>32.2.</t>
  </si>
  <si>
    <t>32.4.</t>
  </si>
  <si>
    <t>32.5.</t>
  </si>
  <si>
    <t>32.6.</t>
  </si>
  <si>
    <t>32.7.</t>
  </si>
  <si>
    <t>32.8.</t>
  </si>
  <si>
    <t>4x2000</t>
  </si>
  <si>
    <t>4x1000</t>
  </si>
  <si>
    <t>4x100</t>
  </si>
  <si>
    <t>2x25</t>
  </si>
  <si>
    <t>Beckman Coulter, ISE Buffer, OE66320, 72-73psl.</t>
  </si>
  <si>
    <t>Beckman Coulter, ISE MID Standart, OE66319, 72-73psl.</t>
  </si>
  <si>
    <t>Beckman Coulter, ISE Reference Sol. OE66318, 72-73psl.</t>
  </si>
  <si>
    <t>Beckman Coulter, ISE STD Low, OE66317, 72-73psl.</t>
  </si>
  <si>
    <t>Beckman Coulter, ISE STD high, OE66316, 72-73psl.</t>
  </si>
  <si>
    <t>Beckman Coulter, ISE Reference Int.Sol., OE66314, 72-73psl.</t>
  </si>
  <si>
    <t>Beckman Coulter, ISE SELECT CHECK, OE66313, 72-73psl.</t>
  </si>
  <si>
    <t>Beckman Coulter, ISE  Urine standart L+H, OE66315, 72-73psl.</t>
  </si>
  <si>
    <t>Beckman Coulter, Control Serum Lev. 1 ODC0003, 72-73psl.</t>
  </si>
  <si>
    <t>Beckman Coulter, Control Serum Lev. 2 ODC0004, 72-73psl.</t>
  </si>
  <si>
    <t>32.12.</t>
  </si>
  <si>
    <t>32.13.</t>
  </si>
  <si>
    <t>K elektrodas</t>
  </si>
  <si>
    <t>Cl elektrodas</t>
  </si>
  <si>
    <t>32.9.</t>
  </si>
  <si>
    <t>32.10.</t>
  </si>
  <si>
    <t>32.11.</t>
  </si>
  <si>
    <t>vnt</t>
  </si>
  <si>
    <t>Beckman Coulter, ISE Cl elektrodas, MU9196</t>
  </si>
  <si>
    <t>Beckman Coulter, ISE K elektrodas, MU9195</t>
  </si>
  <si>
    <t>6 mėn.</t>
  </si>
  <si>
    <t>40000 testų</t>
  </si>
  <si>
    <t>Na elektrodas</t>
  </si>
  <si>
    <t>Beckman Coulter, ISE Na elektrodas, MU9194</t>
  </si>
  <si>
    <t>Beckman Coulter,Creatin Kinase OSR6179 11psl.</t>
  </si>
  <si>
    <t>LIH</t>
  </si>
  <si>
    <t>Sentinel, Beckman coulter Pancreatic Amylase A53704 37psl.</t>
  </si>
  <si>
    <t>Sentinel, Beckman Coulter, Clin Chem Cal 16550 37psl.</t>
  </si>
  <si>
    <t>Beckman Coulter, Control Serum Lev. 1 ODC0003 37psl.</t>
  </si>
  <si>
    <t>Beckman Coulter, Control Serum Lev. 2 ODC0004 37psl.</t>
  </si>
  <si>
    <t>LDL-Cholesterol Enzymatic</t>
  </si>
  <si>
    <t>HDL-Cholesterol Enzymatic</t>
  </si>
  <si>
    <t>Trigliceride GPO-POD</t>
  </si>
  <si>
    <t>Albumin BCG</t>
  </si>
  <si>
    <t>Total Protein Biuret</t>
  </si>
  <si>
    <t>Iron TPTZ</t>
  </si>
  <si>
    <t>Urea GLDH Kinetic</t>
  </si>
  <si>
    <t>Uric Acid Uricase PAP</t>
  </si>
  <si>
    <t>CK (Creatin Kinase)</t>
  </si>
  <si>
    <t xml:space="preserve">Beckman Coulter,LIH OSR62166 </t>
  </si>
  <si>
    <t>2x2x100</t>
  </si>
  <si>
    <t>35.2.</t>
  </si>
  <si>
    <t>35.3.</t>
  </si>
  <si>
    <t>35.4.</t>
  </si>
  <si>
    <t>Wash Sol</t>
  </si>
  <si>
    <t>Wash Sol.</t>
  </si>
  <si>
    <t>Lempa AU5800</t>
  </si>
  <si>
    <t>Lempa AU680</t>
  </si>
  <si>
    <t xml:space="preserve">Beckman Coulter,Wash Sol ODR0001 </t>
  </si>
  <si>
    <t xml:space="preserve">Beckman Coulter,Wash Sol OSR0001 </t>
  </si>
  <si>
    <t>2L</t>
  </si>
  <si>
    <t>5L</t>
  </si>
  <si>
    <t>Cleaning Sol.</t>
  </si>
  <si>
    <t>35.5.</t>
  </si>
  <si>
    <t>35.6.</t>
  </si>
  <si>
    <t>450ml</t>
  </si>
  <si>
    <t>Beckman Coulter,Cleaning Sol OE 66039</t>
  </si>
  <si>
    <t>8.5.</t>
  </si>
  <si>
    <t>Cleaning Sol</t>
  </si>
  <si>
    <t>4x54ml.</t>
  </si>
  <si>
    <t>Cleaning Solution (For Contamination Avoidance)</t>
  </si>
  <si>
    <t>iki datos ant pakuotės</t>
  </si>
  <si>
    <t>Beckman Coulter ODR0027 Cleaning Solution (For Contamination Avoidance)</t>
  </si>
  <si>
    <t>Beckman Coulter, Lipase OSR6230 17psl.</t>
  </si>
  <si>
    <t>Beckman Coulter, OLYMPUS lempa DC 12V 100W, MU855000</t>
  </si>
  <si>
    <t>Beckman Coulter, OLYMPUS lempa, MU988800</t>
  </si>
  <si>
    <t>250vnt.</t>
  </si>
  <si>
    <t>1 vnt.</t>
  </si>
  <si>
    <t>iki dtos ant pak.</t>
  </si>
  <si>
    <t>2000 val.</t>
  </si>
  <si>
    <t>vnt.</t>
  </si>
  <si>
    <t>Viso tyr:</t>
  </si>
  <si>
    <t>Automatinis biocheminis analizatorius su galimybe prijungti ISE modulį, STAT bandinių tyrimo galimybe.
Failas „AU5800_brošiūra“ 2 psl.</t>
  </si>
  <si>
    <t>2000 tyr./val. Stovelių (Rack) tipo.
Failas „AU5800_brošiūra“ 2 psl.</t>
  </si>
  <si>
    <t>54 šaldomų skirtingų tyrimų R1 ir R2 reagentų pozicijų analizatoriuje vienu metu (neįskaitant ISE)
Failas „AU5800_brošiūra“ 2 psl.</t>
  </si>
  <si>
    <t>Automatinio tyrimo pakartojimo galimybė, esant poreikiui, atskiedžiant ar koncentruojant.
Failas „AU5800_brošiūra“ 2 psl.</t>
  </si>
  <si>
    <t>Dvi skubių mėginių stovelių pozicijos po 10 mėgintuvėlių. Viso 20 STAT mėginių.
Failas „AU5800_brošiūra“ 2 psl.
Failas „AU5800 instrukcija-153psl.“</t>
  </si>
  <si>
    <t>Automatinis krešulio ir susidūrimo aptikimas. Serumo indeksų automatinis nustatymas.
Failas „AU5800_brošiūra“ 2 psl.</t>
  </si>
  <si>
    <t>Įvairių dydžių priklausomai nuo poreikio. Mėgintuvėliai 9-15 mm diametro, mikro indeliai.
Failas „AU5800_brošiūra“ 2 psl</t>
  </si>
  <si>
    <t>Mėginio ir reagentų identifikacija brūkšninio kodo skaitytuvo pagalba.
Failas „AU5800_brošiūra“ 2 psl.
Failas „AU5800 instrukcija-94psl.“</t>
  </si>
  <si>
    <t>Automatinis biocheminis analizatorius su ISE moduliu, STAT bandinių tyrimo galimybe.
Failas „au680_brošiūra“ 2psl.</t>
  </si>
  <si>
    <t>1200 tyrimų per valandą. Stovelių (Rack) tipo.
Failas „au680_brošiūra“ 2psl</t>
  </si>
  <si>
    <t>60 pozicijų R1 ir 48 R2 pozicijos, šaldomos 
Failas „au680_brošiūra“ 2psl.</t>
  </si>
  <si>
    <t>Automatinio tyrimo pakartojimo galimybė, esant poreikiui, atskiedžiant ar koncentruojant
Failas „au680_brošiūra“ 2psl.</t>
  </si>
  <si>
    <t>K, Na, Cl nustatymas, elektrodai keičiami pavieniui
Failas „au680_brošiūra“ 2psl.
Failas „AU680 instrukcija-304psl.“</t>
  </si>
  <si>
    <t>22 STAT mėginių pakrovimas nepertraukiant darbo.
Failas „au680_brošiūra“ 2psl.</t>
  </si>
  <si>
    <t>Automatinis krešulio ir susidūrimo aptikimas. Serumo indeksų automatinis nustatymas.
Failas „au680_brošiūra“ 2psl.</t>
  </si>
  <si>
    <t>Įvairių dydžių priklausomai nuo poreikio. Mėgintuvėliai 11,5-16  mm diametro, mikro indeliai.
Failas „au680_brošiūra“ 2psl.</t>
  </si>
  <si>
    <t>Mėginio ir reagentų identifikacija naudojant brūkšninio kodo skaitytuvą.
Failas „au680_brošiūra“ 2psl.
Failas „AU680 instrukcija-84psl“</t>
  </si>
  <si>
    <t>Pateikiama vandens sistema paruošianti reikiamą kiekį vandens šių tyrimų atlikimui.</t>
  </si>
  <si>
    <t>Galimybė jungti analizatorių į HIS/LIS, vienkryptė, ir dvikryptė komunikacija.
Failas „au680_brošiūra“ 2psl.</t>
  </si>
  <si>
    <t>Galimybė jungti analizatorių į HIS/LIS.
Failas „AU5800_brošiūra“ 2 psl.</t>
  </si>
  <si>
    <r>
      <t>Biocheminių tyrimų automatinis analizatorius (su galimybe prijungti ISE modulį)  - 1 vnt. panaudai. Beckman Coulter, AU5800 / biocheminis analizatorius</t>
    </r>
    <r>
      <rPr>
        <b/>
        <sz val="12"/>
        <color rgb="FF000000"/>
        <rFont val="Times New Roman"/>
        <family val="1"/>
      </rPr>
      <t>.</t>
    </r>
  </si>
  <si>
    <t>Biocheminių tyrimų automatinis analizatorius (su ISE moduliu)  - 1 vnt. panaudai. Beckman Coulter, AU680 / biocheminis analizatorius.</t>
  </si>
  <si>
    <t xml:space="preserve">Vandens sistema paruošianti reikiamą kiekį vandens šių tyrimų atlikimui. </t>
  </si>
  <si>
    <t>5 ir 21</t>
  </si>
  <si>
    <t>pridedama prie dalies sav. be PVMx tyr. Skaičius</t>
  </si>
  <si>
    <t>pridedama prie dalies sav. su PVMx tyr. Skaičius</t>
  </si>
  <si>
    <t>Viso:</t>
  </si>
  <si>
    <r>
      <t>Beckman Coulter, HDL</t>
    </r>
    <r>
      <rPr>
        <sz val="11"/>
        <color theme="1"/>
        <rFont val="Calibri"/>
        <family val="2"/>
        <charset val="186"/>
      </rPr>
      <t>&amp;</t>
    </r>
    <r>
      <rPr>
        <i/>
        <sz val="11"/>
        <color theme="1"/>
        <rFont val="Times New Roman"/>
        <family val="1"/>
      </rPr>
      <t>LDL Control Serum Lev. 1</t>
    </r>
    <r>
      <rPr>
        <sz val="11"/>
        <color theme="1"/>
        <rFont val="Calibri"/>
        <family val="2"/>
        <charset val="186"/>
      </rPr>
      <t>&amp;</t>
    </r>
    <r>
      <rPr>
        <i/>
        <sz val="7.7"/>
        <color theme="1"/>
        <rFont val="Times New Roman"/>
        <family val="1"/>
      </rPr>
      <t>2</t>
    </r>
    <r>
      <rPr>
        <i/>
        <sz val="11"/>
        <color theme="1"/>
        <rFont val="Times New Roman"/>
        <family val="1"/>
      </rPr>
      <t xml:space="preserve"> ODC0005 14psl.</t>
    </r>
  </si>
  <si>
    <r>
      <t>Beckman Coulter, HDL</t>
    </r>
    <r>
      <rPr>
        <sz val="11"/>
        <color theme="1"/>
        <rFont val="Calibri"/>
        <family val="2"/>
        <charset val="186"/>
      </rPr>
      <t>&amp;</t>
    </r>
    <r>
      <rPr>
        <i/>
        <sz val="11"/>
        <color theme="1"/>
        <rFont val="Times New Roman"/>
        <family val="1"/>
      </rPr>
      <t>LDL Control Serum Lev. 1</t>
    </r>
    <r>
      <rPr>
        <sz val="11"/>
        <color theme="1"/>
        <rFont val="Calibri"/>
        <family val="2"/>
        <charset val="186"/>
      </rPr>
      <t>&amp;</t>
    </r>
    <r>
      <rPr>
        <i/>
        <sz val="7.7"/>
        <color theme="1"/>
        <rFont val="Times New Roman"/>
        <family val="1"/>
      </rPr>
      <t>2</t>
    </r>
    <r>
      <rPr>
        <i/>
        <sz val="11"/>
        <color theme="1"/>
        <rFont val="Times New Roman"/>
        <family val="1"/>
      </rPr>
      <t xml:space="preserve"> ODC0005 10psl.</t>
    </r>
  </si>
  <si>
    <t>16x2900 testų</t>
  </si>
  <si>
    <t>Iš viso:</t>
  </si>
  <si>
    <t>Hitachi Cup</t>
  </si>
  <si>
    <t>Hitachi Cup (1ml), MU853200</t>
  </si>
  <si>
    <t xml:space="preserve">Hitachi mëgintuvëliai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</si>
</sst>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_€"/>
    <numFmt numFmtId="165" formatCode="#,##0.00\ _€;\-#,##0.00\ _€"/>
    <numFmt numFmtId="166" formatCode="#,##0\ _€"/>
    <numFmt numFmtId="167" formatCode="#,##0.00\ &quot;€&quot;"/>
    <numFmt numFmtId="168" formatCode="0.0000"/>
    <numFmt numFmtId="169" formatCode="0.0000000"/>
  </numFmts>
  <fonts count="21" x14ac:knownFonts="1">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i/>
      <sz val="11"/>
      <color theme="1"/>
      <name val="Times New Roman"/>
      <family val="1"/>
    </font>
    <font>
      <b/>
      <sz val="11"/>
      <color rgb="FF000000"/>
      <name val="Times New Roman"/>
      <family val="1"/>
    </font>
    <font>
      <b/>
      <i/>
      <sz val="11"/>
      <color theme="1"/>
      <name val="Times New Roman"/>
      <family val="1"/>
    </font>
    <font>
      <sz val="11"/>
      <color rgb="FF000000"/>
      <name val="Times New Roman"/>
      <family val="1"/>
    </font>
    <font>
      <b/>
      <sz val="12"/>
      <color rgb="FF000000"/>
      <name val="Times New Roman"/>
      <family val="1"/>
    </font>
    <font>
      <b/>
      <i/>
      <sz val="12"/>
      <color theme="1"/>
      <name val="Times New Roman"/>
      <family val="1"/>
    </font>
    <font>
      <b/>
      <sz val="12"/>
      <color indexed="8"/>
      <name val="Times New Roman"/>
      <family val="1"/>
    </font>
    <font>
      <sz val="12"/>
      <name val="Times New Roman"/>
      <family val="1"/>
    </font>
    <font>
      <b/>
      <i/>
      <sz val="11"/>
      <color rgb="FF000000"/>
      <name val="Times New Roman"/>
      <family val="1"/>
    </font>
    <font>
      <b/>
      <sz val="12"/>
      <name val="Times New Roman"/>
      <family val="1"/>
    </font>
    <font>
      <sz val="11"/>
      <color rgb="FF000000"/>
      <name val="Times New Roman"/>
      <family val="1"/>
      <charset val="186"/>
    </font>
    <font>
      <i/>
      <sz val="11"/>
      <color theme="1"/>
      <name val="Times New Roman"/>
      <family val="1"/>
      <charset val="186"/>
    </font>
    <font>
      <i/>
      <sz val="11"/>
      <color rgb="FF000000"/>
      <name val="Times New Roman"/>
      <family val="1"/>
      <charset val="186"/>
    </font>
    <font>
      <b/>
      <sz val="11"/>
      <color theme="1"/>
      <name val="Times New Roman"/>
      <family val="1"/>
      <charset val="186"/>
    </font>
    <font>
      <b/>
      <sz val="11"/>
      <color rgb="FF000000"/>
      <name val="Times New Roman"/>
      <family val="1"/>
      <charset val="186"/>
    </font>
    <font>
      <sz val="11"/>
      <color theme="1"/>
      <name val="Calibri"/>
      <family val="2"/>
      <charset val="186"/>
    </font>
    <font>
      <i/>
      <sz val="7.7"/>
      <color theme="1"/>
      <name val="Times New Roman"/>
      <family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16">
    <xf numFmtId="0" fontId="0" fillId="0" borderId="0" xfId="0"/>
    <xf numFmtId="0" fontId="1" fillId="2" borderId="0" xfId="0" applyFont="1" applyFill="1"/>
    <xf numFmtId="0" fontId="1" fillId="0" borderId="0" xfId="0" applyFont="1"/>
    <xf numFmtId="0" fontId="0" fillId="2" borderId="0" xfId="0" applyFill="1"/>
    <xf numFmtId="0" fontId="2" fillId="2" borderId="0" xfId="0" applyFont="1" applyFill="1"/>
    <xf numFmtId="0" fontId="2" fillId="2" borderId="0" xfId="0" applyFont="1" applyFill="1" applyAlignment="1">
      <alignment horizontal="center"/>
    </xf>
    <xf numFmtId="0" fontId="1" fillId="4" borderId="0" xfId="0" applyFont="1" applyFill="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4" fillId="2" borderId="0" xfId="0" applyFont="1" applyFill="1"/>
    <xf numFmtId="0" fontId="4" fillId="0" borderId="0" xfId="0" applyFont="1"/>
    <xf numFmtId="49" fontId="3"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6" fillId="3" borderId="1" xfId="0" applyFont="1" applyFill="1" applyBorder="1" applyAlignment="1">
      <alignment horizontal="center" vertical="center"/>
    </xf>
    <xf numFmtId="1" fontId="7" fillId="3" borderId="5" xfId="0" applyNumberFormat="1" applyFont="1" applyFill="1" applyBorder="1" applyAlignment="1">
      <alignment horizontal="center" vertical="center" wrapText="1"/>
    </xf>
    <xf numFmtId="0" fontId="6" fillId="4" borderId="0" xfId="0" applyFont="1" applyFill="1" applyAlignment="1">
      <alignment horizontal="center" vertical="center"/>
    </xf>
    <xf numFmtId="49" fontId="4" fillId="0" borderId="0" xfId="0" applyNumberFormat="1" applyFont="1" applyAlignment="1">
      <alignment vertical="center" wrapText="1"/>
    </xf>
    <xf numFmtId="2" fontId="2" fillId="2" borderId="0" xfId="0" applyNumberFormat="1" applyFont="1" applyFill="1" applyAlignment="1">
      <alignment horizontal="left" vertical="center" wrapText="1"/>
    </xf>
    <xf numFmtId="0" fontId="3"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5" fillId="3" borderId="4" xfId="0" applyFont="1" applyFill="1" applyBorder="1" applyAlignment="1">
      <alignment vertical="center" wrapText="1"/>
    </xf>
    <xf numFmtId="0" fontId="5" fillId="3" borderId="4" xfId="0" applyFont="1" applyFill="1" applyBorder="1" applyAlignment="1">
      <alignment vertical="center"/>
    </xf>
    <xf numFmtId="0" fontId="5" fillId="3" borderId="4"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4" xfId="0" applyFont="1" applyFill="1" applyBorder="1" applyAlignment="1">
      <alignment horizontal="center" vertical="center"/>
    </xf>
    <xf numFmtId="49" fontId="10" fillId="4" borderId="6"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0" fontId="12" fillId="3" borderId="4" xfId="0" applyFont="1" applyFill="1" applyBorder="1" applyAlignment="1">
      <alignment vertical="center" wrapText="1"/>
    </xf>
    <xf numFmtId="49" fontId="11" fillId="4" borderId="7" xfId="0" applyNumberFormat="1" applyFont="1" applyFill="1" applyBorder="1" applyAlignment="1">
      <alignment horizontal="center" vertical="center"/>
    </xf>
    <xf numFmtId="49" fontId="11" fillId="4" borderId="4" xfId="0" applyNumberFormat="1" applyFont="1" applyFill="1" applyBorder="1" applyAlignment="1">
      <alignment horizontal="center" vertical="center"/>
    </xf>
    <xf numFmtId="0" fontId="11" fillId="4" borderId="1" xfId="0" applyFont="1" applyFill="1" applyBorder="1" applyAlignment="1">
      <alignment horizontal="left" vertical="center" wrapText="1"/>
    </xf>
    <xf numFmtId="0" fontId="1" fillId="4" borderId="1" xfId="0" applyFont="1" applyFill="1" applyBorder="1" applyAlignment="1">
      <alignment vertical="center" wrapText="1"/>
    </xf>
    <xf numFmtId="164"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14" fillId="3" borderId="4" xfId="0" applyFont="1" applyFill="1" applyBorder="1" applyAlignment="1">
      <alignment vertical="center"/>
    </xf>
    <xf numFmtId="0" fontId="0" fillId="2" borderId="1" xfId="0" applyFill="1" applyBorder="1" applyAlignment="1">
      <alignment horizontal="center" vertical="center"/>
    </xf>
    <xf numFmtId="164" fontId="0" fillId="2" borderId="1" xfId="0" applyNumberFormat="1" applyFill="1" applyBorder="1" applyAlignment="1">
      <alignment horizontal="center" vertical="center"/>
    </xf>
    <xf numFmtId="0" fontId="1" fillId="2" borderId="1" xfId="0" applyFont="1" applyFill="1" applyBorder="1" applyAlignment="1">
      <alignment horizontal="center" vertical="center" wrapText="1"/>
    </xf>
    <xf numFmtId="164" fontId="0" fillId="2" borderId="1" xfId="0" applyNumberFormat="1" applyFill="1" applyBorder="1"/>
    <xf numFmtId="1" fontId="7" fillId="3" borderId="4"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164" fontId="0" fillId="2" borderId="0" xfId="0" applyNumberFormat="1" applyFill="1" applyAlignment="1">
      <alignment horizontal="center" vertical="center"/>
    </xf>
    <xf numFmtId="165" fontId="0" fillId="2" borderId="4" xfId="0" applyNumberFormat="1" applyFill="1" applyBorder="1" applyAlignment="1">
      <alignment horizontal="center" vertical="center"/>
    </xf>
    <xf numFmtId="164" fontId="0" fillId="2" borderId="4" xfId="0" applyNumberFormat="1" applyFill="1" applyBorder="1" applyAlignment="1">
      <alignment horizontal="center" vertical="center"/>
    </xf>
    <xf numFmtId="0" fontId="0" fillId="2" borderId="0" xfId="0" applyFill="1" applyAlignment="1">
      <alignment horizontal="center" vertical="center"/>
    </xf>
    <xf numFmtId="0" fontId="6" fillId="3" borderId="1" xfId="0" applyFont="1" applyFill="1" applyBorder="1" applyAlignment="1">
      <alignment horizontal="left" vertical="center" wrapText="1"/>
    </xf>
    <xf numFmtId="164" fontId="0" fillId="2" borderId="0" xfId="0" applyNumberFormat="1" applyFill="1"/>
    <xf numFmtId="0" fontId="0" fillId="2" borderId="1" xfId="0" applyFill="1" applyBorder="1"/>
    <xf numFmtId="0" fontId="6" fillId="3" borderId="4" xfId="0" applyFont="1" applyFill="1" applyBorder="1" applyAlignment="1">
      <alignment horizontal="left" vertical="center" wrapText="1"/>
    </xf>
    <xf numFmtId="49" fontId="4" fillId="0" borderId="1" xfId="0" applyNumberFormat="1" applyFont="1" applyBorder="1" applyAlignment="1">
      <alignment vertical="center" wrapText="1"/>
    </xf>
    <xf numFmtId="166" fontId="6" fillId="3" borderId="1" xfId="0" applyNumberFormat="1" applyFont="1" applyFill="1" applyBorder="1" applyAlignment="1">
      <alignment horizontal="center" vertical="center" wrapText="1"/>
    </xf>
    <xf numFmtId="0" fontId="6" fillId="3" borderId="1" xfId="0" applyFont="1" applyFill="1" applyBorder="1" applyAlignment="1">
      <alignment horizontal="left" vertical="center"/>
    </xf>
    <xf numFmtId="0" fontId="15" fillId="3" borderId="1" xfId="0" applyFont="1" applyFill="1" applyBorder="1" applyAlignment="1">
      <alignment horizontal="left" vertical="center"/>
    </xf>
    <xf numFmtId="0" fontId="15" fillId="3" borderId="1" xfId="0" applyFont="1" applyFill="1" applyBorder="1" applyAlignment="1">
      <alignment horizontal="left" vertical="center" wrapText="1"/>
    </xf>
    <xf numFmtId="167" fontId="15" fillId="3" borderId="1" xfId="0" applyNumberFormat="1" applyFont="1" applyFill="1" applyBorder="1" applyAlignment="1">
      <alignment horizontal="left" vertical="center" wrapText="1"/>
    </xf>
    <xf numFmtId="0" fontId="16" fillId="3" borderId="1" xfId="0" applyFont="1" applyFill="1" applyBorder="1" applyAlignment="1">
      <alignment vertical="center" wrapText="1"/>
    </xf>
    <xf numFmtId="0" fontId="15" fillId="3" borderId="4" xfId="0" applyFont="1" applyFill="1" applyBorder="1" applyAlignment="1">
      <alignment horizontal="left" vertical="center"/>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xf>
    <xf numFmtId="4" fontId="4" fillId="3" borderId="1" xfId="0" applyNumberFormat="1" applyFont="1" applyFill="1" applyBorder="1" applyAlignment="1">
      <alignment horizontal="center" vertical="center"/>
    </xf>
    <xf numFmtId="0" fontId="16" fillId="3" borderId="4" xfId="0" applyFont="1" applyFill="1" applyBorder="1" applyAlignment="1">
      <alignment vertical="center" wrapText="1"/>
    </xf>
    <xf numFmtId="164" fontId="0" fillId="2" borderId="4" xfId="0" applyNumberFormat="1" applyFill="1" applyBorder="1" applyAlignment="1">
      <alignment horizontal="center" vertical="center" wrapText="1"/>
    </xf>
    <xf numFmtId="0" fontId="0" fillId="2" borderId="4" xfId="0" applyFill="1" applyBorder="1" applyAlignment="1">
      <alignment horizontal="center" vertical="center"/>
    </xf>
    <xf numFmtId="164" fontId="0" fillId="2" borderId="1" xfId="0" applyNumberFormat="1" applyFill="1" applyBorder="1" applyAlignment="1">
      <alignment vertical="center"/>
    </xf>
    <xf numFmtId="168" fontId="0" fillId="2" borderId="1" xfId="0" applyNumberFormat="1" applyFill="1" applyBorder="1" applyAlignment="1">
      <alignment horizontal="center" vertical="center"/>
    </xf>
    <xf numFmtId="0" fontId="15" fillId="3" borderId="4" xfId="0" applyFont="1" applyFill="1" applyBorder="1" applyAlignment="1">
      <alignment horizontal="left" vertical="center" wrapText="1"/>
    </xf>
    <xf numFmtId="164" fontId="0" fillId="2" borderId="10" xfId="0" applyNumberFormat="1" applyFill="1" applyBorder="1" applyAlignment="1">
      <alignment horizontal="center" vertical="center"/>
    </xf>
    <xf numFmtId="49" fontId="4" fillId="3" borderId="0" xfId="0" applyNumberFormat="1" applyFont="1" applyFill="1" applyAlignment="1">
      <alignment vertical="center" wrapText="1"/>
    </xf>
    <xf numFmtId="49" fontId="4" fillId="3" borderId="1" xfId="0" applyNumberFormat="1" applyFont="1" applyFill="1" applyBorder="1" applyAlignment="1">
      <alignment vertical="center" wrapText="1"/>
    </xf>
    <xf numFmtId="0" fontId="15" fillId="3" borderId="1" xfId="0" applyFont="1" applyFill="1" applyBorder="1" applyAlignment="1">
      <alignment horizontal="center" vertical="center" wrapText="1"/>
    </xf>
    <xf numFmtId="49" fontId="17" fillId="3" borderId="1" xfId="0" applyNumberFormat="1" applyFont="1" applyFill="1" applyBorder="1" applyAlignment="1">
      <alignment horizontal="center" vertical="center"/>
    </xf>
    <xf numFmtId="0" fontId="18" fillId="3" borderId="4" xfId="0" applyFont="1" applyFill="1" applyBorder="1" applyAlignment="1">
      <alignment horizontal="left" vertical="center"/>
    </xf>
    <xf numFmtId="0" fontId="15" fillId="3" borderId="1" xfId="0" applyFont="1" applyFill="1" applyBorder="1" applyAlignment="1">
      <alignment horizontal="center" vertical="center"/>
    </xf>
    <xf numFmtId="164" fontId="15" fillId="3" borderId="1" xfId="0" applyNumberFormat="1" applyFont="1" applyFill="1" applyBorder="1" applyAlignment="1">
      <alignment horizontal="center" vertical="center"/>
    </xf>
    <xf numFmtId="4" fontId="15" fillId="3" borderId="1" xfId="0" applyNumberFormat="1" applyFont="1" applyFill="1" applyBorder="1" applyAlignment="1">
      <alignment horizontal="center" vertical="center"/>
    </xf>
    <xf numFmtId="166" fontId="15" fillId="3" borderId="1" xfId="0" applyNumberFormat="1" applyFont="1" applyFill="1" applyBorder="1" applyAlignment="1">
      <alignment horizontal="center" vertical="center"/>
    </xf>
    <xf numFmtId="169" fontId="0" fillId="2" borderId="0" xfId="0" applyNumberFormat="1" applyFill="1"/>
    <xf numFmtId="2" fontId="6" fillId="3" borderId="1" xfId="0" applyNumberFormat="1" applyFont="1" applyFill="1" applyBorder="1" applyAlignment="1">
      <alignment horizontal="center" vertical="center"/>
    </xf>
    <xf numFmtId="167" fontId="6" fillId="3" borderId="1" xfId="0" applyNumberFormat="1" applyFont="1" applyFill="1" applyBorder="1" applyAlignment="1">
      <alignment horizontal="center" vertical="center" wrapText="1"/>
    </xf>
    <xf numFmtId="4" fontId="0" fillId="2" borderId="1" xfId="0" applyNumberFormat="1" applyFill="1" applyBorder="1"/>
    <xf numFmtId="0" fontId="0" fillId="2" borderId="1" xfId="0" applyFill="1" applyBorder="1" applyAlignment="1">
      <alignment vertical="center"/>
    </xf>
    <xf numFmtId="167" fontId="4" fillId="3" borderId="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0" fillId="3" borderId="1" xfId="0" applyFont="1" applyFill="1" applyBorder="1" applyAlignment="1">
      <alignment horizontal="left" vertical="center"/>
    </xf>
    <xf numFmtId="0" fontId="9" fillId="4" borderId="0" xfId="0" applyFont="1" applyFill="1" applyAlignment="1">
      <alignment horizontal="left" vertical="center" wrapText="1"/>
    </xf>
    <xf numFmtId="0" fontId="9" fillId="4" borderId="0" xfId="0" applyFont="1" applyFill="1" applyAlignment="1">
      <alignment horizontal="left" vertical="center"/>
    </xf>
    <xf numFmtId="2" fontId="2" fillId="2" borderId="0" xfId="0" applyNumberFormat="1" applyFont="1" applyFill="1" applyAlignment="1">
      <alignment horizontal="left" vertical="center" wrapText="1"/>
    </xf>
    <xf numFmtId="0" fontId="9" fillId="3" borderId="0" xfId="0" applyFont="1" applyFill="1" applyAlignment="1">
      <alignment horizontal="center" vertical="center"/>
    </xf>
    <xf numFmtId="0" fontId="8" fillId="4" borderId="1" xfId="0" applyFont="1" applyFill="1" applyBorder="1" applyAlignment="1">
      <alignment horizontal="center" vertical="center" wrapText="1"/>
    </xf>
    <xf numFmtId="49" fontId="3" fillId="4" borderId="4" xfId="0" applyNumberFormat="1" applyFont="1" applyFill="1" applyBorder="1" applyAlignment="1">
      <alignment horizontal="right" vertical="center"/>
    </xf>
    <xf numFmtId="49" fontId="3" fillId="4" borderId="2" xfId="0" applyNumberFormat="1" applyFont="1" applyFill="1" applyBorder="1" applyAlignment="1">
      <alignment horizontal="right" vertical="center"/>
    </xf>
    <xf numFmtId="49" fontId="3" fillId="4" borderId="3" xfId="0" applyNumberFormat="1" applyFont="1" applyFill="1" applyBorder="1" applyAlignment="1">
      <alignment horizontal="right" vertical="center"/>
    </xf>
    <xf numFmtId="49" fontId="1" fillId="2" borderId="0" xfId="0" applyNumberFormat="1" applyFont="1" applyFill="1" applyAlignment="1">
      <alignment horizontal="left" vertical="top" wrapText="1"/>
    </xf>
    <xf numFmtId="49" fontId="1" fillId="2" borderId="0" xfId="0" applyNumberFormat="1" applyFont="1" applyFill="1" applyAlignment="1">
      <alignment horizontal="left" vertical="top"/>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2FAE-69C4-4D76-BE3A-39AF4575D75D}">
  <sheetPr codeName="Sheet3"/>
  <dimension ref="A1:IP275"/>
  <sheetViews>
    <sheetView tabSelected="1" zoomScale="70" zoomScaleNormal="70" workbookViewId="0">
      <pane ySplit="11" topLeftCell="A12" activePane="bottomLeft" state="frozen"/>
      <selection activeCell="A10" sqref="A10"/>
      <selection pane="bottomLeft" activeCell="B6" sqref="B6"/>
    </sheetView>
  </sheetViews>
  <sheetFormatPr defaultColWidth="10.88671875" defaultRowHeight="15.6" x14ac:dyDescent="0.3"/>
  <cols>
    <col min="1" max="1" width="10.88671875" style="2" customWidth="1"/>
    <col min="2" max="2" width="49.109375" style="2" customWidth="1"/>
    <col min="3" max="3" width="13.6640625" style="2" customWidth="1"/>
    <col min="4" max="4" width="14.6640625" style="2" customWidth="1"/>
    <col min="5" max="6" width="14.33203125" style="2" customWidth="1"/>
    <col min="7" max="7" width="16" style="2" bestFit="1" customWidth="1"/>
    <col min="8" max="8" width="15" style="2" customWidth="1"/>
    <col min="9" max="10" width="14.33203125" style="2" customWidth="1"/>
    <col min="11" max="11" width="14.109375" style="2" customWidth="1"/>
    <col min="12" max="13" width="14.5546875" style="2" customWidth="1"/>
    <col min="14" max="15" width="13.6640625" style="2" customWidth="1"/>
    <col min="16" max="16" width="19.5546875" style="2" customWidth="1"/>
    <col min="17" max="17" width="21.6640625" style="2" customWidth="1"/>
    <col min="18" max="18" width="11.88671875" style="2" customWidth="1"/>
    <col min="19" max="19" width="13.109375" style="2" customWidth="1"/>
    <col min="20" max="20" width="13.5546875" style="2" customWidth="1"/>
    <col min="21" max="21" width="12.33203125" style="2" customWidth="1"/>
    <col min="22" max="22" width="11.88671875" style="2" customWidth="1"/>
    <col min="23" max="23" width="13.88671875" style="2" customWidth="1"/>
    <col min="24" max="24" width="15" style="2" customWidth="1"/>
    <col min="25" max="16384" width="10.88671875" style="2"/>
  </cols>
  <sheetData>
    <row r="1" spans="1:32"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x14ac:dyDescent="0.3">
      <c r="A2" s="4" t="s">
        <v>49</v>
      </c>
      <c r="B2" s="4"/>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x14ac:dyDescent="0.3">
      <c r="A3" s="4"/>
      <c r="B3" s="4"/>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x14ac:dyDescent="0.3">
      <c r="A4" s="1"/>
      <c r="B4" s="5"/>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2" ht="16.2" x14ac:dyDescent="0.3">
      <c r="A5" s="101" t="s">
        <v>34</v>
      </c>
      <c r="B5" s="101"/>
      <c r="C5" s="101"/>
      <c r="D5" s="101"/>
      <c r="E5" s="102" t="s">
        <v>0</v>
      </c>
      <c r="F5" s="102"/>
      <c r="G5" s="102"/>
      <c r="H5" s="102"/>
      <c r="I5" s="102"/>
      <c r="J5" s="1"/>
      <c r="K5" s="1"/>
      <c r="L5" s="1"/>
      <c r="M5" s="1"/>
      <c r="N5" s="1"/>
      <c r="O5" s="1"/>
      <c r="P5" s="1"/>
      <c r="Q5" s="1"/>
      <c r="R5" s="1"/>
      <c r="S5" s="1"/>
      <c r="T5" s="1"/>
      <c r="U5" s="1"/>
      <c r="V5" s="1"/>
      <c r="W5" s="1"/>
      <c r="X5" s="1"/>
      <c r="Y5" s="1"/>
      <c r="Z5" s="1"/>
      <c r="AA5" s="1"/>
      <c r="AB5" s="1"/>
      <c r="AC5" s="1"/>
      <c r="AD5" s="1"/>
      <c r="AE5" s="1"/>
      <c r="AF5" s="1"/>
    </row>
    <row r="6" spans="1:32" x14ac:dyDescent="0.3">
      <c r="A6" s="22"/>
      <c r="B6" s="22"/>
      <c r="C6" s="22"/>
      <c r="D6" s="22"/>
      <c r="E6" s="22"/>
      <c r="F6" s="22"/>
      <c r="G6" s="22"/>
      <c r="H6" s="22"/>
      <c r="I6" s="22"/>
      <c r="J6" s="1"/>
      <c r="K6" s="1"/>
      <c r="L6" s="1"/>
      <c r="M6" s="1"/>
      <c r="N6" s="1"/>
      <c r="O6" s="1"/>
      <c r="P6" s="1"/>
      <c r="Q6" s="1"/>
      <c r="R6" s="1"/>
      <c r="S6" s="1"/>
      <c r="T6" s="1"/>
      <c r="U6" s="1"/>
      <c r="V6" s="1"/>
      <c r="W6" s="1"/>
      <c r="X6" s="1"/>
      <c r="Y6" s="1"/>
      <c r="Z6" s="1"/>
      <c r="AA6" s="1"/>
      <c r="AB6" s="1"/>
      <c r="AC6" s="1"/>
      <c r="AD6" s="1"/>
      <c r="AE6" s="1"/>
      <c r="AF6" s="1"/>
    </row>
    <row r="7" spans="1:32" x14ac:dyDescent="0.3">
      <c r="A7" s="101" t="s">
        <v>68</v>
      </c>
      <c r="B7" s="101"/>
      <c r="C7" s="101"/>
      <c r="D7" s="101"/>
      <c r="E7" s="101"/>
      <c r="F7" s="101"/>
      <c r="G7" s="101"/>
      <c r="H7" s="101"/>
      <c r="I7" s="101"/>
      <c r="J7" s="101"/>
      <c r="K7" s="101"/>
      <c r="L7" s="1"/>
      <c r="M7" s="1"/>
      <c r="N7" s="1"/>
      <c r="O7" s="1"/>
      <c r="P7" s="1"/>
      <c r="Q7" s="1"/>
      <c r="R7" s="1"/>
      <c r="S7" s="1"/>
      <c r="T7" s="1"/>
      <c r="U7" s="1"/>
      <c r="V7" s="1"/>
      <c r="W7" s="1"/>
      <c r="X7" s="1"/>
      <c r="Y7" s="1"/>
      <c r="Z7" s="1"/>
      <c r="AA7" s="1"/>
      <c r="AB7" s="1"/>
      <c r="AC7" s="1"/>
      <c r="AD7" s="1"/>
      <c r="AE7" s="1"/>
      <c r="AF7" s="1"/>
    </row>
    <row r="8" spans="1:32"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x14ac:dyDescent="0.3">
      <c r="A9" s="103" t="s">
        <v>64</v>
      </c>
      <c r="B9" s="103"/>
      <c r="C9" s="103"/>
      <c r="D9" s="103"/>
      <c r="E9" s="103"/>
      <c r="F9" s="103"/>
      <c r="G9" s="103"/>
      <c r="H9" s="103"/>
      <c r="I9" s="103"/>
      <c r="J9" s="103"/>
      <c r="K9" s="103"/>
      <c r="L9" s="103"/>
      <c r="M9" s="103"/>
      <c r="N9" s="103"/>
      <c r="O9" s="103"/>
      <c r="P9" s="103"/>
      <c r="Q9" s="103"/>
      <c r="R9" s="1"/>
      <c r="S9" s="1"/>
      <c r="T9" s="1"/>
      <c r="U9" s="1"/>
      <c r="V9" s="1"/>
      <c r="W9" s="1"/>
      <c r="X9" s="1"/>
      <c r="Y9" s="1"/>
      <c r="Z9" s="1"/>
      <c r="AA9" s="1"/>
      <c r="AB9" s="1"/>
      <c r="AC9" s="1"/>
      <c r="AD9" s="1"/>
      <c r="AE9" s="1"/>
      <c r="AF9" s="1"/>
    </row>
    <row r="10" spans="1:32" ht="99.6" customHeight="1" x14ac:dyDescent="0.3">
      <c r="A10" s="7" t="s">
        <v>3</v>
      </c>
      <c r="B10" s="23" t="s">
        <v>31</v>
      </c>
      <c r="C10" s="8" t="s">
        <v>65</v>
      </c>
      <c r="D10" s="9" t="s">
        <v>1</v>
      </c>
      <c r="E10" s="9" t="s">
        <v>27</v>
      </c>
      <c r="F10" s="9" t="s">
        <v>32</v>
      </c>
      <c r="G10" s="9" t="s">
        <v>28</v>
      </c>
      <c r="H10" s="9" t="s">
        <v>29</v>
      </c>
      <c r="I10" s="9" t="s">
        <v>22</v>
      </c>
      <c r="J10" s="9" t="s">
        <v>23</v>
      </c>
      <c r="K10" s="9" t="s">
        <v>62</v>
      </c>
      <c r="L10" s="9" t="s">
        <v>4</v>
      </c>
      <c r="M10" s="9" t="s">
        <v>33</v>
      </c>
      <c r="N10" s="9" t="s">
        <v>24</v>
      </c>
      <c r="O10" s="9" t="s">
        <v>5</v>
      </c>
      <c r="P10" s="9" t="s">
        <v>61</v>
      </c>
      <c r="Q10" s="9" t="s">
        <v>59</v>
      </c>
      <c r="R10" s="43" t="s">
        <v>251</v>
      </c>
      <c r="S10" s="43" t="s">
        <v>252</v>
      </c>
      <c r="T10" s="43" t="s">
        <v>253</v>
      </c>
      <c r="U10" s="43" t="s">
        <v>314</v>
      </c>
      <c r="V10" s="43" t="s">
        <v>315</v>
      </c>
      <c r="W10" s="43" t="s">
        <v>594</v>
      </c>
      <c r="X10" s="43" t="s">
        <v>595</v>
      </c>
      <c r="Y10" s="1"/>
      <c r="Z10" s="1"/>
      <c r="AA10" s="1"/>
      <c r="AB10" s="1"/>
      <c r="AC10" s="1"/>
      <c r="AD10" s="1"/>
      <c r="AE10" s="1"/>
      <c r="AF10" s="1"/>
    </row>
    <row r="11" spans="1:32" s="14" customFormat="1" ht="14.4" customHeight="1" x14ac:dyDescent="0.25">
      <c r="A11" s="10">
        <v>1</v>
      </c>
      <c r="B11" s="24">
        <v>2</v>
      </c>
      <c r="C11" s="11">
        <v>3</v>
      </c>
      <c r="D11" s="12">
        <v>4</v>
      </c>
      <c r="E11" s="12" t="s">
        <v>66</v>
      </c>
      <c r="F11" s="12">
        <v>6</v>
      </c>
      <c r="G11" s="12">
        <v>7</v>
      </c>
      <c r="H11" s="12">
        <v>8</v>
      </c>
      <c r="I11" s="12">
        <v>9</v>
      </c>
      <c r="J11" s="12">
        <v>10</v>
      </c>
      <c r="K11" s="12">
        <v>11</v>
      </c>
      <c r="L11" s="12">
        <v>12</v>
      </c>
      <c r="M11" s="12">
        <v>13</v>
      </c>
      <c r="N11" s="12">
        <v>14</v>
      </c>
      <c r="O11" s="12" t="s">
        <v>67</v>
      </c>
      <c r="P11" s="12">
        <v>16</v>
      </c>
      <c r="Q11" s="12">
        <v>17</v>
      </c>
      <c r="R11" s="13"/>
      <c r="S11" s="13"/>
      <c r="T11" s="13"/>
      <c r="U11" s="13"/>
      <c r="V11" s="13"/>
      <c r="W11" s="13"/>
      <c r="X11" s="13"/>
      <c r="Y11" s="13"/>
      <c r="Z11" s="13"/>
      <c r="AA11" s="13"/>
      <c r="AB11" s="13"/>
      <c r="AC11" s="13"/>
      <c r="AD11" s="13"/>
      <c r="AE11" s="13"/>
      <c r="AF11" s="13"/>
    </row>
    <row r="12" spans="1:32" customFormat="1" ht="51" customHeight="1" x14ac:dyDescent="0.25">
      <c r="A12" s="15" t="s">
        <v>11</v>
      </c>
      <c r="B12" s="25" t="s">
        <v>69</v>
      </c>
      <c r="C12" s="27">
        <v>8000</v>
      </c>
      <c r="D12" s="18">
        <f>SUM(E12/C12)</f>
        <v>7.1978920436786997E-2</v>
      </c>
      <c r="E12" s="37">
        <f>SUM(U17)+(W223*C12)+(W233*C12)</f>
        <v>575.83136349429594</v>
      </c>
      <c r="F12" s="56" t="s">
        <v>593</v>
      </c>
      <c r="G12" s="37">
        <f>SUM(V17)+(X223*C12)+(X233*C12)</f>
        <v>617.48740574308488</v>
      </c>
      <c r="H12" s="17"/>
      <c r="I12" s="17"/>
      <c r="J12" s="17"/>
      <c r="K12" s="17"/>
      <c r="L12" s="17"/>
      <c r="M12" s="17"/>
      <c r="N12" s="17"/>
      <c r="O12" s="17"/>
      <c r="P12" s="17"/>
      <c r="Q12" s="17"/>
      <c r="R12" s="3"/>
      <c r="S12" s="3"/>
      <c r="T12" s="3"/>
      <c r="U12" s="3"/>
      <c r="V12" s="3"/>
      <c r="W12" s="3"/>
      <c r="X12" s="3"/>
      <c r="Y12" s="3"/>
      <c r="Z12" s="3"/>
      <c r="AA12" s="3"/>
      <c r="AB12" s="3"/>
      <c r="AC12" s="3"/>
      <c r="AD12" s="3"/>
      <c r="AE12" s="3"/>
      <c r="AF12" s="3"/>
    </row>
    <row r="13" spans="1:32" customFormat="1" ht="64.2" customHeight="1" x14ac:dyDescent="0.25">
      <c r="A13" s="16" t="s">
        <v>6</v>
      </c>
      <c r="B13" s="57" t="s">
        <v>188</v>
      </c>
      <c r="C13" s="19"/>
      <c r="D13" s="17"/>
      <c r="E13" s="17"/>
      <c r="F13" s="17"/>
      <c r="G13" s="17"/>
      <c r="H13" s="78" t="s">
        <v>188</v>
      </c>
      <c r="I13" s="78" t="s">
        <v>185</v>
      </c>
      <c r="J13" s="78">
        <v>3</v>
      </c>
      <c r="K13" s="78" t="s">
        <v>187</v>
      </c>
      <c r="L13" s="79">
        <v>143</v>
      </c>
      <c r="M13" s="78">
        <v>5</v>
      </c>
      <c r="N13" s="80">
        <f>SUM(O13-L13)</f>
        <v>7.1500000000000057</v>
      </c>
      <c r="O13" s="78">
        <f>SUM(L13*1.05)</f>
        <v>150.15</v>
      </c>
      <c r="P13" s="78" t="s">
        <v>186</v>
      </c>
      <c r="Q13" s="75" t="s">
        <v>191</v>
      </c>
      <c r="R13" s="41">
        <f>SUM(4*960)</f>
        <v>3840</v>
      </c>
      <c r="S13" s="41">
        <f>SUM(C12+480)</f>
        <v>8480</v>
      </c>
      <c r="T13" s="42">
        <f>SUM(S13/R13)</f>
        <v>2.2083333333333335</v>
      </c>
      <c r="U13" s="42">
        <f>SUM(L13*J13)</f>
        <v>429</v>
      </c>
      <c r="V13" s="42">
        <f>SUM(J13*O13)</f>
        <v>450.45000000000005</v>
      </c>
      <c r="W13" s="3"/>
      <c r="X13" s="52"/>
      <c r="Y13" s="3"/>
      <c r="Z13" s="3"/>
      <c r="AA13" s="3"/>
      <c r="AB13" s="3"/>
      <c r="AC13" s="3"/>
      <c r="AD13" s="3"/>
      <c r="AE13" s="3"/>
      <c r="AF13" s="3"/>
    </row>
    <row r="14" spans="1:32" customFormat="1" ht="41.4" x14ac:dyDescent="0.25">
      <c r="A14" s="16" t="s">
        <v>51</v>
      </c>
      <c r="B14" s="40" t="s">
        <v>193</v>
      </c>
      <c r="C14" s="19"/>
      <c r="D14" s="17"/>
      <c r="E14" s="17"/>
      <c r="F14" s="17"/>
      <c r="G14" s="17"/>
      <c r="H14" s="78" t="s">
        <v>196</v>
      </c>
      <c r="I14" s="78" t="s">
        <v>185</v>
      </c>
      <c r="J14" s="78">
        <v>0.05</v>
      </c>
      <c r="K14" s="78" t="s">
        <v>198</v>
      </c>
      <c r="L14" s="79">
        <v>160.5</v>
      </c>
      <c r="M14" s="78">
        <v>5</v>
      </c>
      <c r="N14" s="80">
        <f>SUM(O14-L14)</f>
        <v>8.0250000000000057</v>
      </c>
      <c r="O14" s="79">
        <f>SUM(L14*1.05)</f>
        <v>168.52500000000001</v>
      </c>
      <c r="P14" s="78" t="s">
        <v>186</v>
      </c>
      <c r="Q14" s="75" t="s">
        <v>199</v>
      </c>
      <c r="R14" s="3"/>
      <c r="S14" s="3"/>
      <c r="T14" s="3"/>
      <c r="U14" s="42">
        <f t="shared" ref="U14:U16" si="0">SUM(L14*J14)</f>
        <v>8.0250000000000004</v>
      </c>
      <c r="V14" s="42">
        <f t="shared" ref="V14:V16" si="1">SUM(J14*O14)</f>
        <v>8.4262500000000014</v>
      </c>
      <c r="W14" s="3"/>
      <c r="X14" s="3"/>
      <c r="Y14" s="3"/>
      <c r="Z14" s="3"/>
      <c r="AA14" s="3"/>
      <c r="AB14" s="3"/>
      <c r="AC14" s="3"/>
      <c r="AD14" s="3"/>
      <c r="AE14" s="3"/>
      <c r="AF14" s="3"/>
    </row>
    <row r="15" spans="1:32" customFormat="1" ht="41.4" x14ac:dyDescent="0.25">
      <c r="A15" s="16" t="s">
        <v>52</v>
      </c>
      <c r="B15" s="40" t="s">
        <v>194</v>
      </c>
      <c r="C15" s="19"/>
      <c r="D15" s="17"/>
      <c r="E15" s="17"/>
      <c r="F15" s="17"/>
      <c r="G15" s="17"/>
      <c r="H15" s="78" t="s">
        <v>197</v>
      </c>
      <c r="I15" s="78" t="s">
        <v>185</v>
      </c>
      <c r="J15" s="78">
        <v>0.1</v>
      </c>
      <c r="K15" s="78" t="s">
        <v>198</v>
      </c>
      <c r="L15" s="79">
        <v>183.2</v>
      </c>
      <c r="M15" s="78">
        <v>5</v>
      </c>
      <c r="N15" s="80">
        <f t="shared" ref="N15:N16" si="2">SUM(O15-L15)</f>
        <v>9.1599999999999966</v>
      </c>
      <c r="O15" s="79">
        <f t="shared" ref="O15:O16" si="3">SUM(L15*1.05)</f>
        <v>192.35999999999999</v>
      </c>
      <c r="P15" s="78" t="s">
        <v>186</v>
      </c>
      <c r="Q15" s="75" t="s">
        <v>200</v>
      </c>
      <c r="R15" s="3"/>
      <c r="S15" s="3"/>
      <c r="T15" s="3"/>
      <c r="U15" s="42">
        <f t="shared" si="0"/>
        <v>18.32</v>
      </c>
      <c r="V15" s="42">
        <f t="shared" si="1"/>
        <v>19.236000000000001</v>
      </c>
      <c r="W15" s="3"/>
      <c r="X15" s="3"/>
      <c r="Y15" s="3"/>
      <c r="Z15" s="3"/>
      <c r="AA15" s="3"/>
      <c r="AB15" s="3"/>
      <c r="AC15" s="3"/>
      <c r="AD15" s="3"/>
      <c r="AE15" s="3"/>
      <c r="AF15" s="3"/>
    </row>
    <row r="16" spans="1:32" customFormat="1" ht="41.4" x14ac:dyDescent="0.25">
      <c r="A16" s="16" t="s">
        <v>53</v>
      </c>
      <c r="B16" s="40" t="s">
        <v>195</v>
      </c>
      <c r="C16" s="19"/>
      <c r="D16" s="17"/>
      <c r="E16" s="17"/>
      <c r="F16" s="17"/>
      <c r="G16" s="17"/>
      <c r="H16" s="78" t="s">
        <v>197</v>
      </c>
      <c r="I16" s="78" t="s">
        <v>185</v>
      </c>
      <c r="J16" s="78">
        <v>0.1</v>
      </c>
      <c r="K16" s="78" t="s">
        <v>198</v>
      </c>
      <c r="L16" s="79">
        <v>183.2</v>
      </c>
      <c r="M16" s="78">
        <v>5</v>
      </c>
      <c r="N16" s="80">
        <f t="shared" si="2"/>
        <v>9.1599999999999966</v>
      </c>
      <c r="O16" s="79">
        <f t="shared" si="3"/>
        <v>192.35999999999999</v>
      </c>
      <c r="P16" s="78" t="s">
        <v>186</v>
      </c>
      <c r="Q16" s="75" t="s">
        <v>201</v>
      </c>
      <c r="R16" s="3"/>
      <c r="S16" s="3"/>
      <c r="T16" s="3"/>
      <c r="U16" s="42">
        <f t="shared" si="0"/>
        <v>18.32</v>
      </c>
      <c r="V16" s="42">
        <f t="shared" si="1"/>
        <v>19.236000000000001</v>
      </c>
      <c r="W16" s="3"/>
      <c r="X16" s="3"/>
      <c r="Y16" s="3"/>
      <c r="Z16" s="3"/>
      <c r="AA16" s="3"/>
      <c r="AB16" s="3"/>
      <c r="AC16" s="3"/>
      <c r="AD16" s="3"/>
      <c r="AE16" s="3"/>
      <c r="AF16" s="3"/>
    </row>
    <row r="17" spans="1:32" customFormat="1" ht="13.8" x14ac:dyDescent="0.25">
      <c r="A17" s="16"/>
      <c r="B17" s="40"/>
      <c r="C17" s="45"/>
      <c r="D17" s="46"/>
      <c r="E17" s="46"/>
      <c r="F17" s="46"/>
      <c r="G17" s="46"/>
      <c r="H17" s="17"/>
      <c r="I17" s="17"/>
      <c r="J17" s="17"/>
      <c r="K17" s="17"/>
      <c r="L17" s="17"/>
      <c r="M17" s="17"/>
      <c r="N17" s="17"/>
      <c r="O17" s="17"/>
      <c r="P17" s="17"/>
      <c r="Q17" s="17"/>
      <c r="R17" s="3"/>
      <c r="S17" s="3"/>
      <c r="T17" s="53" t="s">
        <v>596</v>
      </c>
      <c r="U17" s="42">
        <f>SUM(U13:U16)</f>
        <v>473.66499999999996</v>
      </c>
      <c r="V17" s="42">
        <f>SUM(V13:V16)</f>
        <v>497.34825000000001</v>
      </c>
      <c r="W17" s="3"/>
      <c r="X17" s="3"/>
      <c r="Y17" s="3"/>
      <c r="Z17" s="3"/>
      <c r="AA17" s="3"/>
      <c r="AB17" s="3"/>
      <c r="AC17" s="3"/>
      <c r="AD17" s="3"/>
      <c r="AE17" s="3"/>
      <c r="AF17" s="3"/>
    </row>
    <row r="18" spans="1:32" customFormat="1" ht="45.6" customHeight="1" x14ac:dyDescent="0.25">
      <c r="A18" s="15" t="s">
        <v>12</v>
      </c>
      <c r="B18" s="25" t="s">
        <v>71</v>
      </c>
      <c r="C18" s="27">
        <v>8000</v>
      </c>
      <c r="D18" s="18">
        <f>SUM(E18/C18)</f>
        <v>7.1978920436786997E-2</v>
      </c>
      <c r="E18" s="37">
        <f>SUM(U23)+(W223*C18)+(W233*C18)</f>
        <v>575.83136349429594</v>
      </c>
      <c r="F18" s="56" t="s">
        <v>593</v>
      </c>
      <c r="G18" s="37">
        <f>SUM(V23)+(X223*C18)+(X233*C18)</f>
        <v>617.48740574308488</v>
      </c>
      <c r="H18" s="17"/>
      <c r="I18" s="17"/>
      <c r="J18" s="17"/>
      <c r="K18" s="17"/>
      <c r="L18" s="17"/>
      <c r="M18" s="17"/>
      <c r="N18" s="17"/>
      <c r="O18" s="17"/>
      <c r="P18" s="17"/>
      <c r="Q18" s="17"/>
      <c r="R18" s="3"/>
      <c r="S18" s="3"/>
      <c r="T18" s="3"/>
      <c r="U18" s="47"/>
      <c r="V18" s="47"/>
      <c r="W18" s="3"/>
      <c r="X18" s="3"/>
      <c r="Y18" s="3"/>
      <c r="Z18" s="3"/>
      <c r="AA18" s="3"/>
      <c r="AB18" s="3"/>
      <c r="AC18" s="3"/>
      <c r="AD18" s="3"/>
      <c r="AE18" s="3"/>
      <c r="AF18" s="3"/>
    </row>
    <row r="19" spans="1:32" customFormat="1" ht="63.6" customHeight="1" x14ac:dyDescent="0.25">
      <c r="A19" s="16" t="s">
        <v>7</v>
      </c>
      <c r="B19" s="57" t="s">
        <v>189</v>
      </c>
      <c r="C19" s="19"/>
      <c r="D19" s="17"/>
      <c r="E19" s="17"/>
      <c r="F19" s="17"/>
      <c r="G19" s="17"/>
      <c r="H19" s="78" t="s">
        <v>189</v>
      </c>
      <c r="I19" s="78" t="s">
        <v>185</v>
      </c>
      <c r="J19" s="78">
        <v>3</v>
      </c>
      <c r="K19" s="78" t="s">
        <v>192</v>
      </c>
      <c r="L19" s="79">
        <v>143</v>
      </c>
      <c r="M19" s="78">
        <v>5</v>
      </c>
      <c r="N19" s="80">
        <f>SUM(O19-L19)</f>
        <v>7.1500000000000057</v>
      </c>
      <c r="O19" s="78">
        <f>SUM(L19*1.05)</f>
        <v>150.15</v>
      </c>
      <c r="P19" s="78" t="s">
        <v>186</v>
      </c>
      <c r="Q19" s="75" t="s">
        <v>190</v>
      </c>
      <c r="R19" s="41">
        <f>SUM(4*1020)</f>
        <v>4080</v>
      </c>
      <c r="S19" s="41">
        <f>SUM(C18+480)</f>
        <v>8480</v>
      </c>
      <c r="T19" s="48">
        <f>SUM(S19/R19)</f>
        <v>2.0784313725490198</v>
      </c>
      <c r="U19" s="42">
        <f>SUM(J19*L19)</f>
        <v>429</v>
      </c>
      <c r="V19" s="42">
        <f>SUM(J19*O19)</f>
        <v>450.45000000000005</v>
      </c>
      <c r="W19" s="3"/>
      <c r="X19" s="3"/>
      <c r="Y19" s="3"/>
      <c r="Z19" s="3"/>
      <c r="AA19" s="3"/>
      <c r="AB19" s="3"/>
      <c r="AC19" s="3"/>
      <c r="AD19" s="3"/>
      <c r="AE19" s="3"/>
      <c r="AF19" s="3"/>
    </row>
    <row r="20" spans="1:32" customFormat="1" ht="43.5" customHeight="1" x14ac:dyDescent="0.25">
      <c r="A20" s="16" t="s">
        <v>162</v>
      </c>
      <c r="B20" s="40" t="s">
        <v>193</v>
      </c>
      <c r="C20" s="19"/>
      <c r="D20" s="17"/>
      <c r="E20" s="17"/>
      <c r="F20" s="17"/>
      <c r="G20" s="17"/>
      <c r="H20" s="78" t="s">
        <v>196</v>
      </c>
      <c r="I20" s="78" t="s">
        <v>185</v>
      </c>
      <c r="J20" s="78">
        <v>0.05</v>
      </c>
      <c r="K20" s="78" t="s">
        <v>198</v>
      </c>
      <c r="L20" s="79">
        <v>160.5</v>
      </c>
      <c r="M20" s="78">
        <v>5</v>
      </c>
      <c r="N20" s="80">
        <f>SUM(O20-L20)</f>
        <v>8.0250000000000057</v>
      </c>
      <c r="O20" s="79">
        <f>SUM(L20*1.05)</f>
        <v>168.52500000000001</v>
      </c>
      <c r="P20" s="78" t="s">
        <v>186</v>
      </c>
      <c r="Q20" s="75" t="s">
        <v>202</v>
      </c>
      <c r="R20" s="3"/>
      <c r="S20" s="3"/>
      <c r="T20" s="3"/>
      <c r="U20" s="42">
        <f t="shared" ref="U20:U22" si="4">SUM(J20*L20)</f>
        <v>8.0250000000000004</v>
      </c>
      <c r="V20" s="42">
        <f t="shared" ref="V20:V22" si="5">SUM(J20*O20)</f>
        <v>8.4262500000000014</v>
      </c>
      <c r="W20" s="3"/>
      <c r="X20" s="3"/>
      <c r="Y20" s="3"/>
      <c r="Z20" s="3"/>
      <c r="AA20" s="3"/>
      <c r="AB20" s="3"/>
      <c r="AC20" s="3"/>
      <c r="AD20" s="3"/>
      <c r="AE20" s="3"/>
      <c r="AF20" s="3"/>
    </row>
    <row r="21" spans="1:32" customFormat="1" ht="41.4" x14ac:dyDescent="0.25">
      <c r="A21" s="16" t="s">
        <v>163</v>
      </c>
      <c r="B21" s="40" t="s">
        <v>194</v>
      </c>
      <c r="C21" s="19"/>
      <c r="D21" s="17"/>
      <c r="E21" s="17"/>
      <c r="F21" s="17"/>
      <c r="G21" s="17"/>
      <c r="H21" s="78" t="s">
        <v>197</v>
      </c>
      <c r="I21" s="78" t="s">
        <v>185</v>
      </c>
      <c r="J21" s="78">
        <v>0.1</v>
      </c>
      <c r="K21" s="78" t="s">
        <v>198</v>
      </c>
      <c r="L21" s="79">
        <v>183.2</v>
      </c>
      <c r="M21" s="78">
        <v>5</v>
      </c>
      <c r="N21" s="80">
        <f t="shared" ref="N21:N22" si="6">SUM(O21-L21)</f>
        <v>9.1599999999999966</v>
      </c>
      <c r="O21" s="79">
        <f t="shared" ref="O21:O22" si="7">SUM(L21*1.05)</f>
        <v>192.35999999999999</v>
      </c>
      <c r="P21" s="78" t="s">
        <v>186</v>
      </c>
      <c r="Q21" s="75" t="s">
        <v>203</v>
      </c>
      <c r="R21" s="3"/>
      <c r="S21" s="3"/>
      <c r="T21" s="3"/>
      <c r="U21" s="42">
        <f t="shared" si="4"/>
        <v>18.32</v>
      </c>
      <c r="V21" s="42">
        <f t="shared" si="5"/>
        <v>19.236000000000001</v>
      </c>
      <c r="W21" s="3"/>
      <c r="X21" s="3"/>
      <c r="Y21" s="3"/>
      <c r="Z21" s="3"/>
      <c r="AA21" s="3"/>
      <c r="AB21" s="3"/>
      <c r="AC21" s="3"/>
      <c r="AD21" s="3"/>
      <c r="AE21" s="3"/>
      <c r="AF21" s="3"/>
    </row>
    <row r="22" spans="1:32" customFormat="1" ht="41.4" x14ac:dyDescent="0.25">
      <c r="A22" s="16" t="s">
        <v>164</v>
      </c>
      <c r="B22" s="40" t="s">
        <v>195</v>
      </c>
      <c r="C22" s="19"/>
      <c r="D22" s="17"/>
      <c r="E22" s="17"/>
      <c r="F22" s="17"/>
      <c r="G22" s="17"/>
      <c r="H22" s="78" t="s">
        <v>197</v>
      </c>
      <c r="I22" s="78" t="s">
        <v>185</v>
      </c>
      <c r="J22" s="78">
        <v>0.1</v>
      </c>
      <c r="K22" s="78" t="s">
        <v>198</v>
      </c>
      <c r="L22" s="79">
        <v>183.2</v>
      </c>
      <c r="M22" s="78">
        <v>5</v>
      </c>
      <c r="N22" s="80">
        <f t="shared" si="6"/>
        <v>9.1599999999999966</v>
      </c>
      <c r="O22" s="79">
        <f t="shared" si="7"/>
        <v>192.35999999999999</v>
      </c>
      <c r="P22" s="78" t="s">
        <v>186</v>
      </c>
      <c r="Q22" s="75" t="s">
        <v>204</v>
      </c>
      <c r="R22" s="3"/>
      <c r="S22" s="3"/>
      <c r="T22" s="3"/>
      <c r="U22" s="42">
        <f t="shared" si="4"/>
        <v>18.32</v>
      </c>
      <c r="V22" s="42">
        <f t="shared" si="5"/>
        <v>19.236000000000001</v>
      </c>
      <c r="W22" s="3"/>
      <c r="X22" s="3"/>
      <c r="Y22" s="3"/>
      <c r="Z22" s="3"/>
      <c r="AA22" s="3"/>
      <c r="AB22" s="3"/>
      <c r="AC22" s="3"/>
      <c r="AD22" s="3"/>
      <c r="AE22" s="3"/>
      <c r="AF22" s="3"/>
    </row>
    <row r="23" spans="1:32" customFormat="1" ht="13.8" x14ac:dyDescent="0.25">
      <c r="A23" s="16"/>
      <c r="B23" s="40"/>
      <c r="C23" s="45"/>
      <c r="D23" s="46"/>
      <c r="E23" s="46"/>
      <c r="F23" s="46"/>
      <c r="G23" s="46"/>
      <c r="H23" s="17"/>
      <c r="I23" s="17"/>
      <c r="J23" s="17"/>
      <c r="K23" s="17"/>
      <c r="L23" s="17"/>
      <c r="M23" s="17"/>
      <c r="N23" s="17"/>
      <c r="O23" s="17"/>
      <c r="P23" s="17"/>
      <c r="Q23" s="17"/>
      <c r="R23" s="3"/>
      <c r="S23" s="3"/>
      <c r="T23" s="53" t="s">
        <v>596</v>
      </c>
      <c r="U23" s="44">
        <f>SUM(U19:U22)</f>
        <v>473.66499999999996</v>
      </c>
      <c r="V23" s="44">
        <f>SUM(V19:V22)</f>
        <v>497.34825000000001</v>
      </c>
      <c r="W23" s="3"/>
      <c r="X23" s="3"/>
      <c r="Y23" s="3"/>
      <c r="Z23" s="3"/>
      <c r="AA23" s="3"/>
      <c r="AB23" s="3"/>
      <c r="AC23" s="3"/>
      <c r="AD23" s="3"/>
      <c r="AE23" s="3"/>
      <c r="AF23" s="3"/>
    </row>
    <row r="24" spans="1:32" customFormat="1" ht="46.2" customHeight="1" x14ac:dyDescent="0.25">
      <c r="A24" s="15" t="s">
        <v>13</v>
      </c>
      <c r="B24" s="25" t="s">
        <v>72</v>
      </c>
      <c r="C24" s="27">
        <v>8000</v>
      </c>
      <c r="D24" s="18">
        <f>SUM(E24/C24)</f>
        <v>8.9853920436787013E-2</v>
      </c>
      <c r="E24" s="37">
        <f>SUM(U29)+(W223*C24)+(W233*C24)</f>
        <v>718.83136349429606</v>
      </c>
      <c r="F24" s="56" t="s">
        <v>593</v>
      </c>
      <c r="G24" s="37">
        <f>SUM(V29)+(X223*C24)+(X233*C24)</f>
        <v>767.63740574308486</v>
      </c>
      <c r="H24" s="17"/>
      <c r="I24" s="17"/>
      <c r="J24" s="17"/>
      <c r="K24" s="17"/>
      <c r="L24" s="17"/>
      <c r="M24" s="17"/>
      <c r="N24" s="17"/>
      <c r="O24" s="17"/>
      <c r="P24" s="17"/>
      <c r="Q24" s="17"/>
      <c r="R24" s="3"/>
      <c r="S24" s="3"/>
      <c r="T24" s="3"/>
      <c r="U24" s="3"/>
      <c r="V24" s="3"/>
      <c r="W24" s="3"/>
      <c r="X24" s="3"/>
      <c r="Y24" s="3"/>
      <c r="Z24" s="3"/>
      <c r="AA24" s="3"/>
      <c r="AB24" s="3"/>
      <c r="AC24" s="3"/>
      <c r="AD24" s="3"/>
      <c r="AE24" s="3"/>
      <c r="AF24" s="3"/>
    </row>
    <row r="25" spans="1:32" customFormat="1" ht="63" customHeight="1" x14ac:dyDescent="0.25">
      <c r="A25" s="16" t="s">
        <v>8</v>
      </c>
      <c r="B25" s="57" t="s">
        <v>208</v>
      </c>
      <c r="C25" s="19"/>
      <c r="D25" s="17"/>
      <c r="E25" s="17"/>
      <c r="F25" s="17"/>
      <c r="G25" s="17"/>
      <c r="H25" s="78" t="s">
        <v>208</v>
      </c>
      <c r="I25" s="78" t="s">
        <v>185</v>
      </c>
      <c r="J25" s="78">
        <v>4</v>
      </c>
      <c r="K25" s="78" t="s">
        <v>209</v>
      </c>
      <c r="L25" s="79">
        <v>143</v>
      </c>
      <c r="M25" s="78">
        <v>5</v>
      </c>
      <c r="N25" s="80">
        <f>SUM(O25-L25)</f>
        <v>7.1500000000000057</v>
      </c>
      <c r="O25" s="78">
        <f>SUM(L25*1.05)</f>
        <v>150.15</v>
      </c>
      <c r="P25" s="78" t="s">
        <v>186</v>
      </c>
      <c r="Q25" s="75" t="s">
        <v>210</v>
      </c>
      <c r="R25" s="41">
        <f>SUM(4*650)</f>
        <v>2600</v>
      </c>
      <c r="S25" s="41">
        <f>SUM(C24+480)</f>
        <v>8480</v>
      </c>
      <c r="T25" s="49">
        <f>SUM(S25/R25)</f>
        <v>3.2615384615384615</v>
      </c>
      <c r="U25" s="42">
        <f>SUM(J25*L25)</f>
        <v>572</v>
      </c>
      <c r="V25" s="42">
        <f>SUM(J25*O25)</f>
        <v>600.6</v>
      </c>
      <c r="W25" s="3"/>
      <c r="X25" s="3"/>
      <c r="Y25" s="3"/>
      <c r="Z25" s="3"/>
      <c r="AA25" s="3"/>
      <c r="AB25" s="3"/>
      <c r="AC25" s="3"/>
      <c r="AD25" s="3"/>
      <c r="AE25" s="3"/>
      <c r="AF25" s="3"/>
    </row>
    <row r="26" spans="1:32" customFormat="1" ht="63" customHeight="1" x14ac:dyDescent="0.25">
      <c r="A26" s="16" t="s">
        <v>205</v>
      </c>
      <c r="B26" s="40" t="s">
        <v>193</v>
      </c>
      <c r="C26" s="19"/>
      <c r="D26" s="17"/>
      <c r="E26" s="17"/>
      <c r="F26" s="17"/>
      <c r="G26" s="17"/>
      <c r="H26" s="78" t="s">
        <v>196</v>
      </c>
      <c r="I26" s="78" t="s">
        <v>185</v>
      </c>
      <c r="J26" s="78">
        <v>0.05</v>
      </c>
      <c r="K26" s="78" t="s">
        <v>198</v>
      </c>
      <c r="L26" s="79">
        <v>160.5</v>
      </c>
      <c r="M26" s="78">
        <v>5</v>
      </c>
      <c r="N26" s="80">
        <f>SUM(O26-L26)</f>
        <v>8.0250000000000057</v>
      </c>
      <c r="O26" s="79">
        <f>SUM(L26*1.05)</f>
        <v>168.52500000000001</v>
      </c>
      <c r="P26" s="78" t="s">
        <v>186</v>
      </c>
      <c r="Q26" s="75" t="s">
        <v>211</v>
      </c>
      <c r="R26" s="3"/>
      <c r="S26" s="3"/>
      <c r="T26" s="3"/>
      <c r="U26" s="42">
        <f t="shared" ref="U26:U28" si="8">SUM(J26*L26)</f>
        <v>8.0250000000000004</v>
      </c>
      <c r="V26" s="42">
        <f t="shared" ref="V26:V28" si="9">SUM(J26*O26)</f>
        <v>8.4262500000000014</v>
      </c>
      <c r="W26" s="3"/>
      <c r="X26" s="3"/>
      <c r="Y26" s="3"/>
      <c r="Z26" s="3"/>
      <c r="AA26" s="3"/>
      <c r="AB26" s="3"/>
      <c r="AC26" s="3"/>
      <c r="AD26" s="3"/>
      <c r="AE26" s="3"/>
      <c r="AF26" s="3"/>
    </row>
    <row r="27" spans="1:32" customFormat="1" ht="41.4" x14ac:dyDescent="0.25">
      <c r="A27" s="16" t="s">
        <v>206</v>
      </c>
      <c r="B27" s="40" t="s">
        <v>194</v>
      </c>
      <c r="C27" s="19"/>
      <c r="D27" s="17"/>
      <c r="E27" s="17"/>
      <c r="F27" s="17"/>
      <c r="G27" s="17"/>
      <c r="H27" s="78" t="s">
        <v>197</v>
      </c>
      <c r="I27" s="78" t="s">
        <v>185</v>
      </c>
      <c r="J27" s="78">
        <v>0.1</v>
      </c>
      <c r="K27" s="78" t="s">
        <v>198</v>
      </c>
      <c r="L27" s="79">
        <v>183.2</v>
      </c>
      <c r="M27" s="78">
        <v>5</v>
      </c>
      <c r="N27" s="80">
        <f t="shared" ref="N27:N28" si="10">SUM(O27-L27)</f>
        <v>9.1599999999999966</v>
      </c>
      <c r="O27" s="79">
        <f t="shared" ref="O27:O28" si="11">SUM(L27*1.05)</f>
        <v>192.35999999999999</v>
      </c>
      <c r="P27" s="78" t="s">
        <v>186</v>
      </c>
      <c r="Q27" s="75" t="s">
        <v>212</v>
      </c>
      <c r="R27" s="3"/>
      <c r="S27" s="3"/>
      <c r="T27" s="3"/>
      <c r="U27" s="42">
        <f t="shared" si="8"/>
        <v>18.32</v>
      </c>
      <c r="V27" s="42">
        <f t="shared" si="9"/>
        <v>19.236000000000001</v>
      </c>
      <c r="W27" s="3"/>
      <c r="X27" s="3"/>
      <c r="Y27" s="3"/>
      <c r="Z27" s="3"/>
      <c r="AA27" s="3"/>
      <c r="AB27" s="3"/>
      <c r="AC27" s="3"/>
      <c r="AD27" s="3"/>
      <c r="AE27" s="3"/>
      <c r="AF27" s="3"/>
    </row>
    <row r="28" spans="1:32" customFormat="1" ht="41.4" x14ac:dyDescent="0.25">
      <c r="A28" s="16" t="s">
        <v>207</v>
      </c>
      <c r="B28" s="40" t="s">
        <v>195</v>
      </c>
      <c r="C28" s="19"/>
      <c r="D28" s="17"/>
      <c r="E28" s="17"/>
      <c r="F28" s="17"/>
      <c r="G28" s="17"/>
      <c r="H28" s="78" t="s">
        <v>197</v>
      </c>
      <c r="I28" s="78" t="s">
        <v>185</v>
      </c>
      <c r="J28" s="78">
        <v>0.1</v>
      </c>
      <c r="K28" s="78" t="s">
        <v>198</v>
      </c>
      <c r="L28" s="79">
        <v>183.2</v>
      </c>
      <c r="M28" s="78">
        <v>5</v>
      </c>
      <c r="N28" s="80">
        <f t="shared" si="10"/>
        <v>9.1599999999999966</v>
      </c>
      <c r="O28" s="79">
        <f t="shared" si="11"/>
        <v>192.35999999999999</v>
      </c>
      <c r="P28" s="78" t="s">
        <v>186</v>
      </c>
      <c r="Q28" s="75" t="s">
        <v>213</v>
      </c>
      <c r="R28" s="3"/>
      <c r="S28" s="3"/>
      <c r="T28" s="3"/>
      <c r="U28" s="42">
        <f t="shared" si="8"/>
        <v>18.32</v>
      </c>
      <c r="V28" s="42">
        <f t="shared" si="9"/>
        <v>19.236000000000001</v>
      </c>
      <c r="W28" s="3"/>
      <c r="X28" s="3"/>
      <c r="Y28" s="3"/>
      <c r="Z28" s="3"/>
      <c r="AA28" s="3"/>
      <c r="AB28" s="3"/>
      <c r="AC28" s="3"/>
      <c r="AD28" s="3"/>
      <c r="AE28" s="3"/>
      <c r="AF28" s="3"/>
    </row>
    <row r="29" spans="1:32" customFormat="1" ht="13.8" x14ac:dyDescent="0.25">
      <c r="A29" s="16"/>
      <c r="B29" s="40"/>
      <c r="C29" s="45"/>
      <c r="D29" s="46"/>
      <c r="E29" s="46"/>
      <c r="F29" s="46"/>
      <c r="G29" s="46"/>
      <c r="H29" s="17"/>
      <c r="I29" s="17"/>
      <c r="J29" s="17"/>
      <c r="K29" s="17"/>
      <c r="L29" s="17"/>
      <c r="M29" s="17"/>
      <c r="N29" s="17"/>
      <c r="O29" s="17"/>
      <c r="P29" s="17"/>
      <c r="Q29" s="17"/>
      <c r="R29" s="3"/>
      <c r="S29" s="3"/>
      <c r="T29" s="53" t="s">
        <v>596</v>
      </c>
      <c r="U29" s="44">
        <f>SUM(U25:U28)</f>
        <v>616.66500000000008</v>
      </c>
      <c r="V29" s="44">
        <f>SUM(V25:V28)</f>
        <v>647.49824999999998</v>
      </c>
      <c r="W29" s="3"/>
      <c r="X29" s="3"/>
      <c r="Y29" s="3"/>
      <c r="Z29" s="3"/>
      <c r="AA29" s="3"/>
      <c r="AB29" s="3"/>
      <c r="AC29" s="3"/>
      <c r="AD29" s="3"/>
      <c r="AE29" s="3"/>
      <c r="AF29" s="3"/>
    </row>
    <row r="30" spans="1:32" customFormat="1" ht="34.200000000000003" customHeight="1" x14ac:dyDescent="0.25">
      <c r="A30" s="15" t="s">
        <v>14</v>
      </c>
      <c r="B30" s="25" t="s">
        <v>73</v>
      </c>
      <c r="C30" s="27">
        <v>7000</v>
      </c>
      <c r="D30" s="18">
        <f>SUM(E30/C30)</f>
        <v>0.17629436686535843</v>
      </c>
      <c r="E30" s="37">
        <f>SUM(U35)+(W223*C30)+(W233*C30)</f>
        <v>1234.060568057509</v>
      </c>
      <c r="F30" s="56" t="s">
        <v>593</v>
      </c>
      <c r="G30" s="37">
        <f>SUM(V35)+(X223*C30)+(X233*C30)</f>
        <v>1307.0200112751995</v>
      </c>
      <c r="H30" s="17"/>
      <c r="I30" s="17"/>
      <c r="J30" s="17"/>
      <c r="K30" s="17"/>
      <c r="L30" s="17"/>
      <c r="M30" s="17"/>
      <c r="N30" s="17"/>
      <c r="O30" s="17"/>
      <c r="P30" s="17"/>
      <c r="Q30" s="17"/>
      <c r="R30" s="3"/>
      <c r="S30" s="3"/>
      <c r="T30" s="3"/>
      <c r="U30" s="3"/>
      <c r="V30" s="3"/>
      <c r="W30" s="3"/>
      <c r="X30" s="3"/>
      <c r="Y30" s="3"/>
      <c r="Z30" s="3"/>
      <c r="AA30" s="3"/>
      <c r="AB30" s="3"/>
      <c r="AC30" s="3"/>
      <c r="AD30" s="3"/>
      <c r="AE30" s="3"/>
      <c r="AF30" s="3"/>
    </row>
    <row r="31" spans="1:32" customFormat="1" ht="62.4" customHeight="1" x14ac:dyDescent="0.25">
      <c r="A31" s="16" t="s">
        <v>9</v>
      </c>
      <c r="B31" s="57" t="s">
        <v>214</v>
      </c>
      <c r="C31" s="19"/>
      <c r="D31" s="17"/>
      <c r="E31" s="17"/>
      <c r="F31" s="17"/>
      <c r="G31" s="17"/>
      <c r="H31" s="78" t="s">
        <v>214</v>
      </c>
      <c r="I31" s="78" t="s">
        <v>185</v>
      </c>
      <c r="J31" s="78">
        <v>5</v>
      </c>
      <c r="K31" s="78" t="s">
        <v>215</v>
      </c>
      <c r="L31" s="79">
        <v>220</v>
      </c>
      <c r="M31" s="78">
        <v>5</v>
      </c>
      <c r="N31" s="79">
        <f>SUM(O31-L31)</f>
        <v>11</v>
      </c>
      <c r="O31" s="79">
        <f>SUM(L31*1.05)</f>
        <v>231</v>
      </c>
      <c r="P31" s="78" t="s">
        <v>216</v>
      </c>
      <c r="Q31" s="75" t="s">
        <v>217</v>
      </c>
      <c r="R31" s="41">
        <f>SUM(R25:R30)</f>
        <v>2600</v>
      </c>
      <c r="S31" s="41">
        <f>SUM(C30+480)</f>
        <v>7480</v>
      </c>
      <c r="T31" s="49">
        <f>SUM(((120/14)/4)*2)</f>
        <v>4.2857142857142856</v>
      </c>
      <c r="U31" s="42">
        <f>SUM(J31*L31)</f>
        <v>1100</v>
      </c>
      <c r="V31" s="42">
        <f>SUM(J31*O31)</f>
        <v>1155</v>
      </c>
      <c r="W31" s="3"/>
      <c r="X31" s="3"/>
      <c r="Y31" s="3"/>
      <c r="Z31" s="3"/>
      <c r="AA31" s="3"/>
      <c r="AB31" s="3"/>
      <c r="AC31" s="3"/>
      <c r="AD31" s="3"/>
      <c r="AE31" s="3"/>
      <c r="AF31" s="3"/>
    </row>
    <row r="32" spans="1:32" customFormat="1" ht="62.4" customHeight="1" x14ac:dyDescent="0.25">
      <c r="A32" s="16" t="s">
        <v>221</v>
      </c>
      <c r="B32" s="40" t="s">
        <v>193</v>
      </c>
      <c r="C32" s="19"/>
      <c r="D32" s="17"/>
      <c r="E32" s="17"/>
      <c r="F32" s="17"/>
      <c r="G32" s="17"/>
      <c r="H32" s="78" t="s">
        <v>196</v>
      </c>
      <c r="I32" s="78" t="s">
        <v>185</v>
      </c>
      <c r="J32" s="78">
        <v>0.05</v>
      </c>
      <c r="K32" s="78" t="s">
        <v>198</v>
      </c>
      <c r="L32" s="79">
        <v>160.5</v>
      </c>
      <c r="M32" s="78">
        <v>5</v>
      </c>
      <c r="N32" s="80">
        <f>SUM(O32-L32)</f>
        <v>8.0250000000000057</v>
      </c>
      <c r="O32" s="79">
        <f>SUM(L32*1.05)</f>
        <v>168.52500000000001</v>
      </c>
      <c r="P32" s="78" t="s">
        <v>186</v>
      </c>
      <c r="Q32" s="75" t="s">
        <v>218</v>
      </c>
      <c r="R32" s="3"/>
      <c r="S32" s="3"/>
      <c r="T32" s="3"/>
      <c r="U32" s="42">
        <f t="shared" ref="U32:U34" si="12">SUM(J32*L32)</f>
        <v>8.0250000000000004</v>
      </c>
      <c r="V32" s="42">
        <f t="shared" ref="V32:V34" si="13">SUM(J32*O32)</f>
        <v>8.4262500000000014</v>
      </c>
      <c r="W32" s="3"/>
      <c r="X32" s="3"/>
      <c r="Y32" s="3"/>
      <c r="Z32" s="3"/>
      <c r="AA32" s="3"/>
      <c r="AB32" s="3"/>
      <c r="AC32" s="3"/>
      <c r="AD32" s="3"/>
      <c r="AE32" s="3"/>
      <c r="AF32" s="3"/>
    </row>
    <row r="33" spans="1:32" customFormat="1" ht="41.4" x14ac:dyDescent="0.25">
      <c r="A33" s="16" t="s">
        <v>222</v>
      </c>
      <c r="B33" s="40" t="s">
        <v>194</v>
      </c>
      <c r="C33" s="19"/>
      <c r="D33" s="17"/>
      <c r="E33" s="17"/>
      <c r="F33" s="17"/>
      <c r="G33" s="17"/>
      <c r="H33" s="78" t="s">
        <v>197</v>
      </c>
      <c r="I33" s="78" t="s">
        <v>185</v>
      </c>
      <c r="J33" s="78">
        <v>0.1</v>
      </c>
      <c r="K33" s="78" t="s">
        <v>198</v>
      </c>
      <c r="L33" s="79">
        <v>183.2</v>
      </c>
      <c r="M33" s="78">
        <v>5</v>
      </c>
      <c r="N33" s="80">
        <f t="shared" ref="N33:N34" si="14">SUM(O33-L33)</f>
        <v>9.1599999999999966</v>
      </c>
      <c r="O33" s="79">
        <f t="shared" ref="O33:O34" si="15">SUM(L33*1.05)</f>
        <v>192.35999999999999</v>
      </c>
      <c r="P33" s="78" t="s">
        <v>186</v>
      </c>
      <c r="Q33" s="75" t="s">
        <v>219</v>
      </c>
      <c r="R33" s="3"/>
      <c r="S33" s="3"/>
      <c r="T33" s="3"/>
      <c r="U33" s="42">
        <f t="shared" si="12"/>
        <v>18.32</v>
      </c>
      <c r="V33" s="42">
        <f t="shared" si="13"/>
        <v>19.236000000000001</v>
      </c>
      <c r="W33" s="3"/>
      <c r="X33" s="3"/>
      <c r="Y33" s="3"/>
      <c r="Z33" s="3"/>
      <c r="AA33" s="3"/>
      <c r="AB33" s="3"/>
      <c r="AC33" s="3"/>
      <c r="AD33" s="3"/>
      <c r="AE33" s="3"/>
      <c r="AF33" s="3"/>
    </row>
    <row r="34" spans="1:32" customFormat="1" ht="41.4" x14ac:dyDescent="0.25">
      <c r="A34" s="16" t="s">
        <v>223</v>
      </c>
      <c r="B34" s="40" t="s">
        <v>195</v>
      </c>
      <c r="C34" s="19"/>
      <c r="D34" s="17"/>
      <c r="E34" s="17"/>
      <c r="F34" s="17"/>
      <c r="G34" s="17"/>
      <c r="H34" s="78" t="s">
        <v>197</v>
      </c>
      <c r="I34" s="78" t="s">
        <v>185</v>
      </c>
      <c r="J34" s="78">
        <v>0.1</v>
      </c>
      <c r="K34" s="78" t="s">
        <v>198</v>
      </c>
      <c r="L34" s="79">
        <v>183.2</v>
      </c>
      <c r="M34" s="78">
        <v>5</v>
      </c>
      <c r="N34" s="80">
        <f t="shared" si="14"/>
        <v>9.1599999999999966</v>
      </c>
      <c r="O34" s="79">
        <f t="shared" si="15"/>
        <v>192.35999999999999</v>
      </c>
      <c r="P34" s="78" t="s">
        <v>186</v>
      </c>
      <c r="Q34" s="75" t="s">
        <v>220</v>
      </c>
      <c r="R34" s="3"/>
      <c r="S34" s="3"/>
      <c r="T34" s="3"/>
      <c r="U34" s="42">
        <f t="shared" si="12"/>
        <v>18.32</v>
      </c>
      <c r="V34" s="42">
        <f t="shared" si="13"/>
        <v>19.236000000000001</v>
      </c>
      <c r="W34" s="3"/>
      <c r="X34" s="3"/>
      <c r="Y34" s="3"/>
      <c r="Z34" s="3"/>
      <c r="AA34" s="3"/>
      <c r="AB34" s="3"/>
      <c r="AC34" s="3"/>
      <c r="AD34" s="3"/>
      <c r="AE34" s="3"/>
      <c r="AF34" s="3"/>
    </row>
    <row r="35" spans="1:32" customFormat="1" ht="13.8" x14ac:dyDescent="0.25">
      <c r="A35" s="16"/>
      <c r="B35" s="40"/>
      <c r="C35" s="45"/>
      <c r="D35" s="46"/>
      <c r="E35" s="64"/>
      <c r="F35" s="46"/>
      <c r="G35" s="64"/>
      <c r="H35" s="17"/>
      <c r="I35" s="17"/>
      <c r="J35" s="17"/>
      <c r="K35" s="17"/>
      <c r="L35" s="17"/>
      <c r="M35" s="17"/>
      <c r="N35" s="17"/>
      <c r="O35" s="17"/>
      <c r="P35" s="17"/>
      <c r="Q35" s="17"/>
      <c r="R35" s="3"/>
      <c r="S35" s="3"/>
      <c r="T35" s="53" t="s">
        <v>596</v>
      </c>
      <c r="U35" s="42">
        <f>SUM(U31:U34)</f>
        <v>1144.665</v>
      </c>
      <c r="V35" s="42">
        <f>SUM(V31:V34)</f>
        <v>1201.8982500000002</v>
      </c>
      <c r="W35" s="3"/>
      <c r="X35" s="3"/>
      <c r="Y35" s="3"/>
      <c r="Z35" s="3"/>
      <c r="AA35" s="3"/>
      <c r="AB35" s="3"/>
      <c r="AC35" s="3"/>
      <c r="AD35" s="3"/>
      <c r="AE35" s="3"/>
      <c r="AF35" s="3"/>
    </row>
    <row r="36" spans="1:32" customFormat="1" ht="38.4" customHeight="1" x14ac:dyDescent="0.25">
      <c r="A36" s="15" t="s">
        <v>15</v>
      </c>
      <c r="B36" s="25" t="s">
        <v>74</v>
      </c>
      <c r="C36" s="27">
        <v>5000</v>
      </c>
      <c r="D36" s="18">
        <f>SUM(E36/C36)</f>
        <v>6.9703795436786994E-2</v>
      </c>
      <c r="E36" s="37">
        <f>SUM(U41)+(W223*C36)+(W233*C36)</f>
        <v>348.51897718393496</v>
      </c>
      <c r="F36" s="56" t="s">
        <v>593</v>
      </c>
      <c r="G36" s="37">
        <f>SUM(V41)+(X223*C36)+(X233*C36)</f>
        <v>373.98522233942799</v>
      </c>
      <c r="H36" s="17"/>
      <c r="I36" s="17"/>
      <c r="J36" s="17"/>
      <c r="K36" s="17"/>
      <c r="L36" s="17"/>
      <c r="M36" s="17"/>
      <c r="N36" s="17"/>
      <c r="O36" s="17"/>
      <c r="P36" s="17"/>
      <c r="Q36" s="17"/>
      <c r="R36" s="3"/>
      <c r="S36" s="3"/>
      <c r="T36" s="3"/>
      <c r="U36" s="3"/>
      <c r="V36" s="3"/>
      <c r="W36" s="3"/>
      <c r="X36" s="3"/>
      <c r="Y36" s="3"/>
      <c r="Z36" s="3"/>
      <c r="AA36" s="3"/>
      <c r="AB36" s="3"/>
      <c r="AC36" s="3"/>
      <c r="AD36" s="3"/>
      <c r="AE36" s="3"/>
      <c r="AF36" s="3"/>
    </row>
    <row r="37" spans="1:32" customFormat="1" ht="61.95" customHeight="1" x14ac:dyDescent="0.25">
      <c r="A37" s="16" t="s">
        <v>10</v>
      </c>
      <c r="B37" s="57" t="s">
        <v>238</v>
      </c>
      <c r="C37" s="19"/>
      <c r="D37" s="17"/>
      <c r="E37" s="17"/>
      <c r="F37" s="17"/>
      <c r="G37" s="17"/>
      <c r="H37" s="78" t="s">
        <v>238</v>
      </c>
      <c r="I37" s="78" t="s">
        <v>185</v>
      </c>
      <c r="J37" s="78">
        <v>1</v>
      </c>
      <c r="K37" s="78" t="s">
        <v>260</v>
      </c>
      <c r="L37" s="79">
        <v>240</v>
      </c>
      <c r="M37" s="78">
        <v>5</v>
      </c>
      <c r="N37" s="79">
        <f>SUM(O37-L37)</f>
        <v>12</v>
      </c>
      <c r="O37" s="79">
        <f>SUM(L37*1.05)</f>
        <v>252</v>
      </c>
      <c r="P37" s="78" t="s">
        <v>237</v>
      </c>
      <c r="Q37" s="75" t="s">
        <v>239</v>
      </c>
      <c r="R37" s="41">
        <f>SUM(4*1570)</f>
        <v>6280</v>
      </c>
      <c r="S37" s="41">
        <f>SUM(5000+480)</f>
        <v>5480</v>
      </c>
      <c r="T37" s="67">
        <f>SUM(((120/90)/4)*2)</f>
        <v>0.66666666666666663</v>
      </c>
      <c r="U37" s="42">
        <f>SUM(J37*L37)</f>
        <v>240</v>
      </c>
      <c r="V37" s="42">
        <f>SUM(J37*O37)</f>
        <v>252</v>
      </c>
      <c r="W37" s="3"/>
      <c r="X37" s="3"/>
      <c r="Y37" s="3"/>
      <c r="Z37" s="3"/>
      <c r="AA37" s="3"/>
      <c r="AB37" s="3"/>
      <c r="AC37" s="3"/>
      <c r="AD37" s="3"/>
      <c r="AE37" s="3"/>
      <c r="AF37" s="3"/>
    </row>
    <row r="38" spans="1:32" customFormat="1" ht="61.95" customHeight="1" x14ac:dyDescent="0.25">
      <c r="A38" s="16" t="s">
        <v>240</v>
      </c>
      <c r="B38" s="40" t="s">
        <v>193</v>
      </c>
      <c r="C38" s="19"/>
      <c r="D38" s="17"/>
      <c r="E38" s="17"/>
      <c r="F38" s="17"/>
      <c r="G38" s="17"/>
      <c r="H38" s="78" t="s">
        <v>196</v>
      </c>
      <c r="I38" s="78" t="s">
        <v>185</v>
      </c>
      <c r="J38" s="78">
        <v>0.05</v>
      </c>
      <c r="K38" s="78" t="s">
        <v>198</v>
      </c>
      <c r="L38" s="79">
        <v>160.5</v>
      </c>
      <c r="M38" s="78">
        <v>5</v>
      </c>
      <c r="N38" s="80">
        <f>SUM(O38-L38)</f>
        <v>8.0250000000000057</v>
      </c>
      <c r="O38" s="79">
        <f>SUM(L38*1.05)</f>
        <v>168.52500000000001</v>
      </c>
      <c r="P38" s="78" t="s">
        <v>186</v>
      </c>
      <c r="Q38" s="75" t="s">
        <v>234</v>
      </c>
      <c r="R38" s="3"/>
      <c r="S38" s="3"/>
      <c r="T38" s="3"/>
      <c r="U38" s="42">
        <f t="shared" ref="U38:U40" si="16">SUM(J38*L38)</f>
        <v>8.0250000000000004</v>
      </c>
      <c r="V38" s="42">
        <f t="shared" ref="V38:V40" si="17">SUM(J38*O38)</f>
        <v>8.4262500000000014</v>
      </c>
      <c r="W38" s="3"/>
      <c r="X38" s="3"/>
      <c r="Y38" s="3"/>
      <c r="Z38" s="3"/>
      <c r="AA38" s="3"/>
      <c r="AB38" s="3"/>
      <c r="AC38" s="3"/>
      <c r="AD38" s="3"/>
      <c r="AE38" s="3"/>
      <c r="AF38" s="3"/>
    </row>
    <row r="39" spans="1:32" customFormat="1" ht="41.4" x14ac:dyDescent="0.25">
      <c r="A39" s="16" t="s">
        <v>241</v>
      </c>
      <c r="B39" s="40" t="s">
        <v>194</v>
      </c>
      <c r="C39" s="19"/>
      <c r="D39" s="17"/>
      <c r="E39" s="17"/>
      <c r="F39" s="17"/>
      <c r="G39" s="17"/>
      <c r="H39" s="78" t="s">
        <v>197</v>
      </c>
      <c r="I39" s="78" t="s">
        <v>185</v>
      </c>
      <c r="J39" s="78">
        <v>0.1</v>
      </c>
      <c r="K39" s="78" t="s">
        <v>198</v>
      </c>
      <c r="L39" s="79">
        <v>183.2</v>
      </c>
      <c r="M39" s="78">
        <v>5</v>
      </c>
      <c r="N39" s="80">
        <f t="shared" ref="N39:N40" si="18">SUM(O39-L39)</f>
        <v>9.1599999999999966</v>
      </c>
      <c r="O39" s="79">
        <f t="shared" ref="O39:O40" si="19">SUM(L39*1.05)</f>
        <v>192.35999999999999</v>
      </c>
      <c r="P39" s="78" t="s">
        <v>186</v>
      </c>
      <c r="Q39" s="75" t="s">
        <v>235</v>
      </c>
      <c r="R39" s="3"/>
      <c r="S39" s="3"/>
      <c r="T39" s="3"/>
      <c r="U39" s="42">
        <f t="shared" si="16"/>
        <v>18.32</v>
      </c>
      <c r="V39" s="42">
        <f t="shared" si="17"/>
        <v>19.236000000000001</v>
      </c>
      <c r="W39" s="3"/>
      <c r="X39" s="3"/>
      <c r="Y39" s="3"/>
      <c r="Z39" s="3"/>
      <c r="AA39" s="3"/>
      <c r="AB39" s="3"/>
      <c r="AC39" s="3"/>
      <c r="AD39" s="3"/>
      <c r="AE39" s="3"/>
      <c r="AF39" s="3"/>
    </row>
    <row r="40" spans="1:32" customFormat="1" ht="41.4" x14ac:dyDescent="0.25">
      <c r="A40" s="16" t="s">
        <v>242</v>
      </c>
      <c r="B40" s="40" t="s">
        <v>195</v>
      </c>
      <c r="C40" s="19"/>
      <c r="D40" s="17"/>
      <c r="E40" s="17"/>
      <c r="F40" s="17"/>
      <c r="G40" s="17"/>
      <c r="H40" s="78" t="s">
        <v>197</v>
      </c>
      <c r="I40" s="78" t="s">
        <v>185</v>
      </c>
      <c r="J40" s="78">
        <v>0.1</v>
      </c>
      <c r="K40" s="78" t="s">
        <v>198</v>
      </c>
      <c r="L40" s="79">
        <v>183.2</v>
      </c>
      <c r="M40" s="78">
        <v>5</v>
      </c>
      <c r="N40" s="80">
        <f t="shared" si="18"/>
        <v>9.1599999999999966</v>
      </c>
      <c r="O40" s="79">
        <f t="shared" si="19"/>
        <v>192.35999999999999</v>
      </c>
      <c r="P40" s="78" t="s">
        <v>186</v>
      </c>
      <c r="Q40" s="75" t="s">
        <v>236</v>
      </c>
      <c r="R40" s="3"/>
      <c r="S40" s="3"/>
      <c r="T40" s="3"/>
      <c r="U40" s="42">
        <f t="shared" si="16"/>
        <v>18.32</v>
      </c>
      <c r="V40" s="42">
        <f t="shared" si="17"/>
        <v>19.236000000000001</v>
      </c>
      <c r="W40" s="3"/>
      <c r="X40" s="3"/>
      <c r="Y40" s="3"/>
      <c r="Z40" s="3"/>
      <c r="AA40" s="3"/>
      <c r="AB40" s="3"/>
      <c r="AC40" s="3"/>
      <c r="AD40" s="3"/>
      <c r="AE40" s="3"/>
      <c r="AF40" s="3"/>
    </row>
    <row r="41" spans="1:32" customFormat="1" ht="13.8" x14ac:dyDescent="0.25">
      <c r="A41" s="16"/>
      <c r="B41" s="40"/>
      <c r="C41" s="45"/>
      <c r="D41" s="46"/>
      <c r="E41" s="46"/>
      <c r="F41" s="46"/>
      <c r="G41" s="46"/>
      <c r="H41" s="17"/>
      <c r="I41" s="17"/>
      <c r="J41" s="17"/>
      <c r="K41" s="17"/>
      <c r="L41" s="17"/>
      <c r="M41" s="17"/>
      <c r="N41" s="17"/>
      <c r="O41" s="17"/>
      <c r="P41" s="17"/>
      <c r="Q41" s="17"/>
      <c r="R41" s="3"/>
      <c r="S41" s="3"/>
      <c r="T41" s="53" t="s">
        <v>596</v>
      </c>
      <c r="U41" s="42">
        <f>SUM(U37:U40)</f>
        <v>284.66500000000002</v>
      </c>
      <c r="V41" s="42">
        <f>SUM(V37:V40)</f>
        <v>298.89824999999996</v>
      </c>
      <c r="W41" s="3"/>
      <c r="X41" s="3"/>
      <c r="Y41" s="3"/>
      <c r="Z41" s="3"/>
      <c r="AA41" s="3"/>
      <c r="AB41" s="3"/>
      <c r="AC41" s="3"/>
      <c r="AD41" s="3"/>
      <c r="AE41" s="3"/>
      <c r="AF41" s="3"/>
    </row>
    <row r="42" spans="1:32" customFormat="1" ht="33" customHeight="1" x14ac:dyDescent="0.25">
      <c r="A42" s="15" t="s">
        <v>16</v>
      </c>
      <c r="B42" s="25" t="s">
        <v>75</v>
      </c>
      <c r="C42" s="27">
        <v>5000</v>
      </c>
      <c r="D42" s="18">
        <f>SUM(E42/C42)</f>
        <v>8.7703795436786997E-2</v>
      </c>
      <c r="E42" s="37">
        <f>SUM(U47)+(W223*C42)+(W233*C42)</f>
        <v>438.51897718393496</v>
      </c>
      <c r="F42" s="56" t="s">
        <v>593</v>
      </c>
      <c r="G42" s="37">
        <f>SUM(V47)+(X223*C42)+(X233*C42)</f>
        <v>468.48522233942799</v>
      </c>
      <c r="H42" s="17"/>
      <c r="I42" s="17"/>
      <c r="J42" s="17"/>
      <c r="K42" s="17"/>
      <c r="L42" s="17"/>
      <c r="M42" s="17"/>
      <c r="N42" s="17"/>
      <c r="O42" s="17"/>
      <c r="P42" s="17"/>
      <c r="Q42" s="17"/>
      <c r="R42" s="3"/>
      <c r="S42" s="3"/>
      <c r="T42" s="3"/>
      <c r="U42" s="3"/>
      <c r="V42" s="3"/>
      <c r="W42" s="3"/>
      <c r="X42" s="3"/>
      <c r="Y42" s="3"/>
      <c r="Z42" s="3"/>
      <c r="AA42" s="3"/>
      <c r="AB42" s="3"/>
      <c r="AC42" s="3"/>
      <c r="AD42" s="3"/>
      <c r="AE42" s="3"/>
      <c r="AF42" s="3"/>
    </row>
    <row r="43" spans="1:32" customFormat="1" ht="61.2" customHeight="1" x14ac:dyDescent="0.25">
      <c r="A43" s="16" t="s">
        <v>17</v>
      </c>
      <c r="B43" s="58" t="s">
        <v>225</v>
      </c>
      <c r="C43" s="19"/>
      <c r="D43" s="17"/>
      <c r="E43" s="17"/>
      <c r="F43" s="17"/>
      <c r="G43" s="17"/>
      <c r="H43" s="78" t="s">
        <v>225</v>
      </c>
      <c r="I43" s="78" t="s">
        <v>185</v>
      </c>
      <c r="J43" s="78">
        <v>3</v>
      </c>
      <c r="K43" s="78" t="s">
        <v>261</v>
      </c>
      <c r="L43" s="79">
        <v>110</v>
      </c>
      <c r="M43" s="78">
        <v>5</v>
      </c>
      <c r="N43" s="79">
        <f>SUM(O43-L43)</f>
        <v>5.5</v>
      </c>
      <c r="O43" s="79">
        <f>SUM(L43*1.05)</f>
        <v>115.5</v>
      </c>
      <c r="P43" s="78" t="s">
        <v>226</v>
      </c>
      <c r="Q43" s="75" t="s">
        <v>224</v>
      </c>
      <c r="R43" s="41">
        <f>SUM(R37:R42)</f>
        <v>6280</v>
      </c>
      <c r="S43" s="41">
        <f>SUM(5000+480)</f>
        <v>5480</v>
      </c>
      <c r="T43" s="49">
        <f>SUM(((120/21)/4)*2)</f>
        <v>2.8571428571428572</v>
      </c>
      <c r="U43" s="42">
        <f>SUM(J43*L43)</f>
        <v>330</v>
      </c>
      <c r="V43" s="42">
        <f>SUM(J43*O43)</f>
        <v>346.5</v>
      </c>
      <c r="W43" s="3"/>
      <c r="X43" s="3"/>
      <c r="Y43" s="3"/>
      <c r="Z43" s="3"/>
      <c r="AA43" s="3"/>
      <c r="AB43" s="3"/>
      <c r="AC43" s="3"/>
      <c r="AD43" s="3"/>
      <c r="AE43" s="3"/>
      <c r="AF43" s="3"/>
    </row>
    <row r="44" spans="1:32" customFormat="1" ht="61.2" customHeight="1" x14ac:dyDescent="0.25">
      <c r="A44" s="16" t="s">
        <v>230</v>
      </c>
      <c r="B44" s="40" t="s">
        <v>193</v>
      </c>
      <c r="C44" s="19"/>
      <c r="D44" s="17"/>
      <c r="E44" s="17"/>
      <c r="F44" s="17"/>
      <c r="G44" s="17"/>
      <c r="H44" s="78" t="s">
        <v>196</v>
      </c>
      <c r="I44" s="78" t="s">
        <v>185</v>
      </c>
      <c r="J44" s="78">
        <v>0.05</v>
      </c>
      <c r="K44" s="78" t="s">
        <v>198</v>
      </c>
      <c r="L44" s="79">
        <v>160.5</v>
      </c>
      <c r="M44" s="78">
        <v>5</v>
      </c>
      <c r="N44" s="80">
        <f>SUM(O44-L44)</f>
        <v>8.0250000000000057</v>
      </c>
      <c r="O44" s="79">
        <f>SUM(L44*1.05)</f>
        <v>168.52500000000001</v>
      </c>
      <c r="P44" s="78" t="s">
        <v>186</v>
      </c>
      <c r="Q44" s="75" t="s">
        <v>227</v>
      </c>
      <c r="R44" s="3"/>
      <c r="S44" s="3"/>
      <c r="T44" s="3"/>
      <c r="U44" s="42">
        <f t="shared" ref="U44:U46" si="20">SUM(J44*L44)</f>
        <v>8.0250000000000004</v>
      </c>
      <c r="V44" s="42">
        <f t="shared" ref="V44:V46" si="21">SUM(J44*O44)</f>
        <v>8.4262500000000014</v>
      </c>
      <c r="W44" s="3"/>
      <c r="X44" s="3"/>
      <c r="Y44" s="3"/>
      <c r="Z44" s="3"/>
      <c r="AA44" s="3"/>
      <c r="AB44" s="3"/>
      <c r="AC44" s="3"/>
      <c r="AD44" s="3"/>
      <c r="AE44" s="3"/>
      <c r="AF44" s="3"/>
    </row>
    <row r="45" spans="1:32" customFormat="1" ht="41.4" x14ac:dyDescent="0.25">
      <c r="A45" s="16" t="s">
        <v>232</v>
      </c>
      <c r="B45" s="40" t="s">
        <v>194</v>
      </c>
      <c r="C45" s="19"/>
      <c r="D45" s="17"/>
      <c r="E45" s="17"/>
      <c r="F45" s="17"/>
      <c r="G45" s="17"/>
      <c r="H45" s="78" t="s">
        <v>197</v>
      </c>
      <c r="I45" s="78" t="s">
        <v>185</v>
      </c>
      <c r="J45" s="78">
        <v>0.1</v>
      </c>
      <c r="K45" s="78" t="s">
        <v>198</v>
      </c>
      <c r="L45" s="79">
        <v>183.2</v>
      </c>
      <c r="M45" s="78">
        <v>5</v>
      </c>
      <c r="N45" s="80">
        <f t="shared" ref="N45:N46" si="22">SUM(O45-L45)</f>
        <v>9.1599999999999966</v>
      </c>
      <c r="O45" s="79">
        <f t="shared" ref="O45:O46" si="23">SUM(L45*1.05)</f>
        <v>192.35999999999999</v>
      </c>
      <c r="P45" s="78" t="s">
        <v>186</v>
      </c>
      <c r="Q45" s="75" t="s">
        <v>228</v>
      </c>
      <c r="R45" s="3"/>
      <c r="S45" s="3"/>
      <c r="T45" s="3"/>
      <c r="U45" s="42">
        <f t="shared" si="20"/>
        <v>18.32</v>
      </c>
      <c r="V45" s="42">
        <f t="shared" si="21"/>
        <v>19.236000000000001</v>
      </c>
      <c r="W45" s="3"/>
      <c r="X45" s="3"/>
      <c r="Y45" s="3"/>
      <c r="Z45" s="3"/>
      <c r="AA45" s="3"/>
      <c r="AB45" s="3"/>
      <c r="AC45" s="3"/>
      <c r="AD45" s="3"/>
      <c r="AE45" s="3"/>
      <c r="AF45" s="3"/>
    </row>
    <row r="46" spans="1:32" customFormat="1" ht="41.4" x14ac:dyDescent="0.25">
      <c r="A46" s="16" t="s">
        <v>233</v>
      </c>
      <c r="B46" s="40" t="s">
        <v>195</v>
      </c>
      <c r="C46" s="19"/>
      <c r="D46" s="17"/>
      <c r="E46" s="17"/>
      <c r="F46" s="17"/>
      <c r="G46" s="17"/>
      <c r="H46" s="78" t="s">
        <v>197</v>
      </c>
      <c r="I46" s="78" t="s">
        <v>185</v>
      </c>
      <c r="J46" s="78">
        <v>0.1</v>
      </c>
      <c r="K46" s="78" t="s">
        <v>198</v>
      </c>
      <c r="L46" s="79">
        <v>183.2</v>
      </c>
      <c r="M46" s="78">
        <v>5</v>
      </c>
      <c r="N46" s="80">
        <f t="shared" si="22"/>
        <v>9.1599999999999966</v>
      </c>
      <c r="O46" s="79">
        <f t="shared" si="23"/>
        <v>192.35999999999999</v>
      </c>
      <c r="P46" s="78" t="s">
        <v>186</v>
      </c>
      <c r="Q46" s="75" t="s">
        <v>229</v>
      </c>
      <c r="R46" s="3"/>
      <c r="S46" s="3"/>
      <c r="T46" s="3"/>
      <c r="U46" s="42">
        <f t="shared" si="20"/>
        <v>18.32</v>
      </c>
      <c r="V46" s="42">
        <f t="shared" si="21"/>
        <v>19.236000000000001</v>
      </c>
      <c r="W46" s="3"/>
      <c r="X46" s="3"/>
      <c r="Y46" s="3"/>
      <c r="Z46" s="3"/>
      <c r="AA46" s="3"/>
      <c r="AB46" s="3"/>
      <c r="AC46" s="3"/>
      <c r="AD46" s="3"/>
      <c r="AE46" s="3"/>
      <c r="AF46" s="3"/>
    </row>
    <row r="47" spans="1:32" customFormat="1" ht="13.8" x14ac:dyDescent="0.25">
      <c r="A47" s="16"/>
      <c r="B47" s="40"/>
      <c r="C47" s="45"/>
      <c r="D47" s="46"/>
      <c r="E47" s="46"/>
      <c r="F47" s="46"/>
      <c r="G47" s="46"/>
      <c r="H47" s="17"/>
      <c r="I47" s="17"/>
      <c r="J47" s="17"/>
      <c r="K47" s="17"/>
      <c r="L47" s="17"/>
      <c r="M47" s="17"/>
      <c r="N47" s="17"/>
      <c r="O47" s="17"/>
      <c r="P47" s="17"/>
      <c r="Q47" s="17"/>
      <c r="R47" s="3"/>
      <c r="S47" s="3"/>
      <c r="T47" s="53" t="s">
        <v>596</v>
      </c>
      <c r="U47" s="42">
        <f>SUM(U43:U46)</f>
        <v>374.66499999999996</v>
      </c>
      <c r="V47" s="42">
        <f>SUM(V43:V46)</f>
        <v>393.39824999999996</v>
      </c>
      <c r="W47" s="3"/>
      <c r="X47" s="3"/>
      <c r="Y47" s="3"/>
      <c r="Z47" s="3"/>
      <c r="AA47" s="3"/>
      <c r="AB47" s="3"/>
      <c r="AC47" s="3"/>
      <c r="AD47" s="3"/>
      <c r="AE47" s="3"/>
      <c r="AF47" s="3"/>
    </row>
    <row r="48" spans="1:32" customFormat="1" ht="34.200000000000003" customHeight="1" x14ac:dyDescent="0.25">
      <c r="A48" s="15" t="s">
        <v>19</v>
      </c>
      <c r="B48" s="25" t="s">
        <v>140</v>
      </c>
      <c r="C48" s="27">
        <v>1800</v>
      </c>
      <c r="D48" s="18">
        <f>SUM(E48/C48)</f>
        <v>0.25425135099234253</v>
      </c>
      <c r="E48" s="37">
        <f>SUM(U53)+(W223*C48)+(W233*C48)</f>
        <v>457.6524317862166</v>
      </c>
      <c r="F48" s="56" t="s">
        <v>593</v>
      </c>
      <c r="G48" s="37">
        <f>SUM(V53)+(X223*C48)+(X233*C48)</f>
        <v>483.42956004219405</v>
      </c>
      <c r="H48" s="17"/>
      <c r="I48" s="17"/>
      <c r="J48" s="17"/>
      <c r="K48" s="17"/>
      <c r="L48" s="17"/>
      <c r="M48" s="17"/>
      <c r="N48" s="17"/>
      <c r="O48" s="17"/>
      <c r="P48" s="17"/>
      <c r="Q48" s="17"/>
      <c r="R48" s="3"/>
      <c r="S48" s="3"/>
      <c r="T48" s="3"/>
      <c r="U48" s="3"/>
      <c r="V48" s="3"/>
      <c r="W48" s="3"/>
      <c r="X48" s="3"/>
      <c r="Y48" s="3"/>
      <c r="Z48" s="3"/>
      <c r="AA48" s="3"/>
      <c r="AB48" s="3"/>
      <c r="AC48" s="3"/>
      <c r="AD48" s="3"/>
      <c r="AE48" s="3"/>
      <c r="AF48" s="3"/>
    </row>
    <row r="49" spans="1:32" customFormat="1" ht="60.6" customHeight="1" x14ac:dyDescent="0.25">
      <c r="A49" s="16" t="s">
        <v>18</v>
      </c>
      <c r="B49" s="57" t="s">
        <v>243</v>
      </c>
      <c r="C49" s="19"/>
      <c r="D49" s="17"/>
      <c r="E49" s="17"/>
      <c r="F49" s="17"/>
      <c r="G49" s="17"/>
      <c r="H49" s="78" t="s">
        <v>243</v>
      </c>
      <c r="I49" s="78" t="s">
        <v>185</v>
      </c>
      <c r="J49" s="78">
        <v>3</v>
      </c>
      <c r="K49" s="78" t="s">
        <v>259</v>
      </c>
      <c r="L49" s="79">
        <v>130</v>
      </c>
      <c r="M49" s="78">
        <v>5</v>
      </c>
      <c r="N49" s="80">
        <f>SUM(O49-L49)</f>
        <v>6.5</v>
      </c>
      <c r="O49" s="79">
        <f>SUM(L49*1.05)</f>
        <v>136.5</v>
      </c>
      <c r="P49" s="78" t="s">
        <v>226</v>
      </c>
      <c r="Q49" s="75" t="s">
        <v>244</v>
      </c>
      <c r="R49" s="41">
        <f>SUM(4*640)</f>
        <v>2560</v>
      </c>
      <c r="S49" s="41">
        <f>SUM(R49)</f>
        <v>2560</v>
      </c>
      <c r="T49" s="49">
        <f>SUM(((120/21)/4)*2)</f>
        <v>2.8571428571428572</v>
      </c>
      <c r="U49" s="42">
        <f>SUM(J49*L49)</f>
        <v>390</v>
      </c>
      <c r="V49" s="42">
        <f>SUM(J49*O49)</f>
        <v>409.5</v>
      </c>
      <c r="W49" s="3"/>
      <c r="X49" s="3"/>
      <c r="Y49" s="3"/>
      <c r="Z49" s="3"/>
      <c r="AA49" s="3"/>
      <c r="AB49" s="3"/>
      <c r="AC49" s="3"/>
      <c r="AD49" s="3"/>
      <c r="AE49" s="3"/>
      <c r="AF49" s="3"/>
    </row>
    <row r="50" spans="1:32" customFormat="1" ht="60.6" customHeight="1" x14ac:dyDescent="0.25">
      <c r="A50" s="16" t="s">
        <v>245</v>
      </c>
      <c r="B50" s="40" t="s">
        <v>193</v>
      </c>
      <c r="C50" s="19"/>
      <c r="D50" s="17"/>
      <c r="E50" s="17"/>
      <c r="F50" s="17"/>
      <c r="G50" s="17"/>
      <c r="H50" s="78" t="s">
        <v>196</v>
      </c>
      <c r="I50" s="78" t="s">
        <v>185</v>
      </c>
      <c r="J50" s="78">
        <v>0.05</v>
      </c>
      <c r="K50" s="78" t="s">
        <v>198</v>
      </c>
      <c r="L50" s="79">
        <v>160.5</v>
      </c>
      <c r="M50" s="78">
        <v>5</v>
      </c>
      <c r="N50" s="80">
        <f>SUM(O50-L50)</f>
        <v>8.0250000000000057</v>
      </c>
      <c r="O50" s="79">
        <f>SUM(L50*1.05)</f>
        <v>168.52500000000001</v>
      </c>
      <c r="P50" s="78" t="s">
        <v>186</v>
      </c>
      <c r="Q50" s="75" t="s">
        <v>248</v>
      </c>
      <c r="R50" s="3"/>
      <c r="S50" s="3"/>
      <c r="T50" s="3"/>
      <c r="U50" s="42">
        <f t="shared" ref="U50:U52" si="24">SUM(J50*L50)</f>
        <v>8.0250000000000004</v>
      </c>
      <c r="V50" s="42">
        <f t="shared" ref="V50:V52" si="25">SUM(J50*O50)</f>
        <v>8.4262500000000014</v>
      </c>
      <c r="W50" s="3"/>
      <c r="X50" s="3"/>
      <c r="Y50" s="3"/>
      <c r="Z50" s="3"/>
      <c r="AA50" s="3"/>
      <c r="AB50" s="3"/>
      <c r="AC50" s="3"/>
      <c r="AD50" s="3"/>
      <c r="AE50" s="3"/>
      <c r="AF50" s="3"/>
    </row>
    <row r="51" spans="1:32" customFormat="1" ht="41.4" x14ac:dyDescent="0.25">
      <c r="A51" s="16" t="s">
        <v>246</v>
      </c>
      <c r="B51" s="40" t="s">
        <v>194</v>
      </c>
      <c r="C51" s="19"/>
      <c r="D51" s="17"/>
      <c r="E51" s="17"/>
      <c r="F51" s="17"/>
      <c r="G51" s="17"/>
      <c r="H51" s="78" t="s">
        <v>197</v>
      </c>
      <c r="I51" s="78" t="s">
        <v>185</v>
      </c>
      <c r="J51" s="78">
        <v>0.1</v>
      </c>
      <c r="K51" s="78" t="s">
        <v>198</v>
      </c>
      <c r="L51" s="79">
        <v>183.2</v>
      </c>
      <c r="M51" s="78">
        <v>5</v>
      </c>
      <c r="N51" s="80">
        <f t="shared" ref="N51:N52" si="26">SUM(O51-L51)</f>
        <v>9.1599999999999966</v>
      </c>
      <c r="O51" s="79">
        <f t="shared" ref="O51:O52" si="27">SUM(L51*1.05)</f>
        <v>192.35999999999999</v>
      </c>
      <c r="P51" s="78" t="s">
        <v>186</v>
      </c>
      <c r="Q51" s="75" t="s">
        <v>249</v>
      </c>
      <c r="R51" s="3"/>
      <c r="S51" s="3"/>
      <c r="T51" s="3"/>
      <c r="U51" s="42">
        <f t="shared" si="24"/>
        <v>18.32</v>
      </c>
      <c r="V51" s="42">
        <f t="shared" si="25"/>
        <v>19.236000000000001</v>
      </c>
      <c r="W51" s="3"/>
      <c r="X51" s="3"/>
      <c r="Y51" s="3"/>
      <c r="Z51" s="3"/>
      <c r="AA51" s="3"/>
      <c r="AB51" s="3"/>
      <c r="AC51" s="3"/>
      <c r="AD51" s="3"/>
      <c r="AE51" s="3"/>
      <c r="AF51" s="3"/>
    </row>
    <row r="52" spans="1:32" customFormat="1" ht="41.4" x14ac:dyDescent="0.25">
      <c r="A52" s="16" t="s">
        <v>247</v>
      </c>
      <c r="B52" s="40" t="s">
        <v>195</v>
      </c>
      <c r="C52" s="19"/>
      <c r="D52" s="17"/>
      <c r="E52" s="17"/>
      <c r="F52" s="17"/>
      <c r="G52" s="17"/>
      <c r="H52" s="78" t="s">
        <v>197</v>
      </c>
      <c r="I52" s="78" t="s">
        <v>185</v>
      </c>
      <c r="J52" s="78">
        <v>0.1</v>
      </c>
      <c r="K52" s="78" t="s">
        <v>198</v>
      </c>
      <c r="L52" s="79">
        <v>183.2</v>
      </c>
      <c r="M52" s="78">
        <v>5</v>
      </c>
      <c r="N52" s="80">
        <f t="shared" si="26"/>
        <v>9.1599999999999966</v>
      </c>
      <c r="O52" s="79">
        <f t="shared" si="27"/>
        <v>192.35999999999999</v>
      </c>
      <c r="P52" s="78" t="s">
        <v>186</v>
      </c>
      <c r="Q52" s="75" t="s">
        <v>250</v>
      </c>
      <c r="R52" s="3"/>
      <c r="S52" s="3"/>
      <c r="T52" s="3"/>
      <c r="U52" s="42">
        <f t="shared" si="24"/>
        <v>18.32</v>
      </c>
      <c r="V52" s="42">
        <f t="shared" si="25"/>
        <v>19.236000000000001</v>
      </c>
      <c r="W52" s="3"/>
      <c r="X52" s="3"/>
      <c r="Y52" s="3"/>
      <c r="Z52" s="3"/>
      <c r="AA52" s="3"/>
      <c r="AB52" s="3"/>
      <c r="AC52" s="3"/>
      <c r="AD52" s="3"/>
      <c r="AE52" s="3"/>
      <c r="AF52" s="3"/>
    </row>
    <row r="53" spans="1:32" customFormat="1" ht="13.8" x14ac:dyDescent="0.25">
      <c r="A53" s="16"/>
      <c r="B53" s="40"/>
      <c r="C53" s="45"/>
      <c r="D53" s="46"/>
      <c r="E53" s="46"/>
      <c r="F53" s="46"/>
      <c r="G53" s="46"/>
      <c r="H53" s="17"/>
      <c r="I53" s="17"/>
      <c r="J53" s="17"/>
      <c r="K53" s="17"/>
      <c r="L53" s="17"/>
      <c r="M53" s="17"/>
      <c r="N53" s="17"/>
      <c r="O53" s="17"/>
      <c r="P53" s="17"/>
      <c r="Q53" s="17"/>
      <c r="R53" s="3"/>
      <c r="S53" s="3"/>
      <c r="T53" s="53" t="s">
        <v>596</v>
      </c>
      <c r="U53" s="42">
        <f>SUM(U49:U52)</f>
        <v>434.66499999999996</v>
      </c>
      <c r="V53" s="42">
        <f>SUM(V49:V52)</f>
        <v>456.39824999999996</v>
      </c>
      <c r="W53" s="3"/>
      <c r="X53" s="3"/>
      <c r="Y53" s="3"/>
      <c r="Z53" s="3"/>
      <c r="AA53" s="3"/>
      <c r="AB53" s="3"/>
      <c r="AC53" s="3"/>
      <c r="AD53" s="3"/>
      <c r="AE53" s="3"/>
      <c r="AF53" s="3"/>
    </row>
    <row r="54" spans="1:32" customFormat="1" ht="34.200000000000003" customHeight="1" x14ac:dyDescent="0.25">
      <c r="A54" s="15" t="s">
        <v>20</v>
      </c>
      <c r="B54" s="25" t="s">
        <v>76</v>
      </c>
      <c r="C54" s="27">
        <v>2500</v>
      </c>
      <c r="D54" s="18">
        <f>SUM(E54/C54)</f>
        <v>0.88103679543678715</v>
      </c>
      <c r="E54" s="37">
        <f>SUM(U60)+(W223*C54)+(W233*C54)</f>
        <v>2202.5919885919679</v>
      </c>
      <c r="F54" s="56" t="s">
        <v>593</v>
      </c>
      <c r="G54" s="37">
        <f>SUM(V60)+(X223*C54)+(X233*C54)</f>
        <v>2316.7417361697139</v>
      </c>
      <c r="H54" s="17"/>
      <c r="I54" s="17"/>
      <c r="J54" s="17"/>
      <c r="K54" s="17"/>
      <c r="L54" s="17"/>
      <c r="M54" s="17"/>
      <c r="N54" s="17"/>
      <c r="O54" s="17"/>
      <c r="P54" s="17"/>
      <c r="Q54" s="17"/>
      <c r="R54" s="3"/>
      <c r="S54" s="3"/>
      <c r="T54" s="3"/>
      <c r="U54" s="3"/>
      <c r="V54" s="3"/>
      <c r="W54" s="3"/>
      <c r="X54" s="3"/>
      <c r="Y54" s="3"/>
      <c r="Z54" s="3"/>
      <c r="AA54" s="3"/>
      <c r="AB54" s="3"/>
      <c r="AC54" s="3"/>
      <c r="AD54" s="3"/>
      <c r="AE54" s="3"/>
      <c r="AF54" s="3"/>
    </row>
    <row r="55" spans="1:32" customFormat="1" ht="64.95" customHeight="1" x14ac:dyDescent="0.25">
      <c r="A55" s="16" t="s">
        <v>21</v>
      </c>
      <c r="B55" s="58" t="s">
        <v>256</v>
      </c>
      <c r="C55" s="19"/>
      <c r="D55" s="17"/>
      <c r="E55" s="17"/>
      <c r="F55" s="17"/>
      <c r="G55" s="17"/>
      <c r="H55" s="78" t="s">
        <v>256</v>
      </c>
      <c r="I55" s="78" t="s">
        <v>257</v>
      </c>
      <c r="J55" s="78">
        <v>5</v>
      </c>
      <c r="K55" s="78" t="s">
        <v>258</v>
      </c>
      <c r="L55" s="79">
        <v>390</v>
      </c>
      <c r="M55" s="78">
        <v>5</v>
      </c>
      <c r="N55" s="80">
        <f>SUM(O55-L55)</f>
        <v>19.5</v>
      </c>
      <c r="O55" s="79">
        <f>SUM(L55*1.05)</f>
        <v>409.5</v>
      </c>
      <c r="P55" s="78" t="s">
        <v>226</v>
      </c>
      <c r="Q55" s="75" t="s">
        <v>561</v>
      </c>
      <c r="R55" s="41">
        <f>SUM(4*180)</f>
        <v>720</v>
      </c>
      <c r="S55" s="41">
        <f>SUM(2500+480)</f>
        <v>2980</v>
      </c>
      <c r="T55" s="49">
        <f>SUM(S55/R55)</f>
        <v>4.1388888888888893</v>
      </c>
      <c r="U55" s="69">
        <f>SUM(J55*L55)</f>
        <v>1950</v>
      </c>
      <c r="V55" s="69">
        <f>SUM(J55*O55)</f>
        <v>2047.5</v>
      </c>
      <c r="W55" s="3"/>
      <c r="X55" s="3"/>
      <c r="Y55" s="3"/>
      <c r="Z55" s="3"/>
      <c r="AA55" s="3"/>
      <c r="AB55" s="3"/>
      <c r="AC55" s="3"/>
      <c r="AD55" s="3"/>
      <c r="AE55" s="3"/>
      <c r="AF55" s="3"/>
    </row>
    <row r="56" spans="1:32" customFormat="1" ht="87.75" customHeight="1" x14ac:dyDescent="0.25">
      <c r="A56" s="16" t="s">
        <v>231</v>
      </c>
      <c r="B56" s="62" t="s">
        <v>558</v>
      </c>
      <c r="C56" s="19"/>
      <c r="D56" s="17"/>
      <c r="E56" s="17"/>
      <c r="F56" s="17"/>
      <c r="G56" s="17"/>
      <c r="H56" s="78" t="s">
        <v>556</v>
      </c>
      <c r="I56" s="78" t="s">
        <v>185</v>
      </c>
      <c r="J56" s="78">
        <v>8</v>
      </c>
      <c r="K56" s="78" t="s">
        <v>557</v>
      </c>
      <c r="L56" s="79">
        <v>22</v>
      </c>
      <c r="M56" s="78">
        <v>5</v>
      </c>
      <c r="N56" s="80">
        <f>SUM(O56-L56)</f>
        <v>1.1000000000000014</v>
      </c>
      <c r="O56" s="79">
        <f>SUM(L56*1.05)</f>
        <v>23.1</v>
      </c>
      <c r="P56" s="75" t="s">
        <v>559</v>
      </c>
      <c r="Q56" s="75" t="s">
        <v>560</v>
      </c>
      <c r="R56" s="50"/>
      <c r="S56" s="50"/>
      <c r="T56" s="47"/>
      <c r="U56" s="69">
        <f t="shared" ref="U56:U59" si="28">SUM(J56*L56)</f>
        <v>176</v>
      </c>
      <c r="V56" s="69">
        <f t="shared" ref="V56:V59" si="29">SUM(J56*O56)</f>
        <v>184.8</v>
      </c>
      <c r="W56" s="3"/>
      <c r="X56" s="3"/>
      <c r="Y56" s="3"/>
      <c r="Z56" s="3"/>
      <c r="AA56" s="3"/>
      <c r="AB56" s="3"/>
      <c r="AC56" s="3"/>
      <c r="AD56" s="3"/>
      <c r="AE56" s="3"/>
      <c r="AF56" s="3"/>
    </row>
    <row r="57" spans="1:32" customFormat="1" ht="64.95" customHeight="1" x14ac:dyDescent="0.25">
      <c r="A57" s="16" t="s">
        <v>254</v>
      </c>
      <c r="B57" s="40" t="s">
        <v>193</v>
      </c>
      <c r="C57" s="19"/>
      <c r="D57" s="17"/>
      <c r="E57" s="17"/>
      <c r="F57" s="17"/>
      <c r="G57" s="17"/>
      <c r="H57" s="78" t="s">
        <v>196</v>
      </c>
      <c r="I57" s="78" t="s">
        <v>185</v>
      </c>
      <c r="J57" s="78">
        <v>0.05</v>
      </c>
      <c r="K57" s="78" t="s">
        <v>198</v>
      </c>
      <c r="L57" s="79">
        <v>160.5</v>
      </c>
      <c r="M57" s="78">
        <v>5</v>
      </c>
      <c r="N57" s="80">
        <f>SUM(O57-L57)</f>
        <v>8.0250000000000057</v>
      </c>
      <c r="O57" s="79">
        <f>SUM(L57*1.05)</f>
        <v>168.52500000000001</v>
      </c>
      <c r="P57" s="78" t="s">
        <v>186</v>
      </c>
      <c r="Q57" s="75" t="s">
        <v>262</v>
      </c>
      <c r="R57" s="3"/>
      <c r="S57" s="3"/>
      <c r="T57" s="3"/>
      <c r="U57" s="69">
        <f t="shared" si="28"/>
        <v>8.0250000000000004</v>
      </c>
      <c r="V57" s="69">
        <f t="shared" si="29"/>
        <v>8.4262500000000014</v>
      </c>
      <c r="W57" s="3"/>
      <c r="X57" s="3"/>
      <c r="Y57" s="3"/>
      <c r="Z57" s="3"/>
      <c r="AA57" s="3"/>
      <c r="AB57" s="3"/>
      <c r="AC57" s="3"/>
      <c r="AD57" s="3"/>
      <c r="AE57" s="3"/>
      <c r="AF57" s="3"/>
    </row>
    <row r="58" spans="1:32" customFormat="1" ht="41.4" x14ac:dyDescent="0.25">
      <c r="A58" s="16" t="s">
        <v>255</v>
      </c>
      <c r="B58" s="40" t="s">
        <v>194</v>
      </c>
      <c r="C58" s="19"/>
      <c r="D58" s="17"/>
      <c r="E58" s="17"/>
      <c r="F58" s="17"/>
      <c r="G58" s="17"/>
      <c r="H58" s="78" t="s">
        <v>197</v>
      </c>
      <c r="I58" s="78" t="s">
        <v>185</v>
      </c>
      <c r="J58" s="78">
        <v>0.1</v>
      </c>
      <c r="K58" s="78" t="s">
        <v>198</v>
      </c>
      <c r="L58" s="79">
        <v>183.2</v>
      </c>
      <c r="M58" s="78">
        <v>5</v>
      </c>
      <c r="N58" s="80">
        <f t="shared" ref="N58:N59" si="30">SUM(O58-L58)</f>
        <v>9.1599999999999966</v>
      </c>
      <c r="O58" s="79">
        <f t="shared" ref="O58:O59" si="31">SUM(L58*1.05)</f>
        <v>192.35999999999999</v>
      </c>
      <c r="P58" s="78" t="s">
        <v>186</v>
      </c>
      <c r="Q58" s="75" t="s">
        <v>263</v>
      </c>
      <c r="R58" s="3"/>
      <c r="S58" s="3"/>
      <c r="T58" s="3"/>
      <c r="U58" s="69">
        <f t="shared" si="28"/>
        <v>18.32</v>
      </c>
      <c r="V58" s="69">
        <f t="shared" si="29"/>
        <v>19.236000000000001</v>
      </c>
      <c r="W58" s="3"/>
      <c r="X58" s="3"/>
      <c r="Y58" s="3"/>
      <c r="Z58" s="3"/>
      <c r="AA58" s="3"/>
      <c r="AB58" s="3"/>
      <c r="AC58" s="3"/>
      <c r="AD58" s="3"/>
      <c r="AE58" s="3"/>
      <c r="AF58" s="3"/>
    </row>
    <row r="59" spans="1:32" customFormat="1" ht="41.4" x14ac:dyDescent="0.25">
      <c r="A59" s="16" t="s">
        <v>555</v>
      </c>
      <c r="B59" s="40" t="s">
        <v>195</v>
      </c>
      <c r="C59" s="19"/>
      <c r="D59" s="17"/>
      <c r="E59" s="17"/>
      <c r="F59" s="17"/>
      <c r="G59" s="17"/>
      <c r="H59" s="78" t="s">
        <v>197</v>
      </c>
      <c r="I59" s="78" t="s">
        <v>185</v>
      </c>
      <c r="J59" s="78">
        <v>0.1</v>
      </c>
      <c r="K59" s="78" t="s">
        <v>198</v>
      </c>
      <c r="L59" s="79">
        <v>183.2</v>
      </c>
      <c r="M59" s="78">
        <v>5</v>
      </c>
      <c r="N59" s="80">
        <f t="shared" si="30"/>
        <v>9.1599999999999966</v>
      </c>
      <c r="O59" s="79">
        <f t="shared" si="31"/>
        <v>192.35999999999999</v>
      </c>
      <c r="P59" s="78" t="s">
        <v>186</v>
      </c>
      <c r="Q59" s="75" t="s">
        <v>264</v>
      </c>
      <c r="R59" s="3"/>
      <c r="S59" s="3"/>
      <c r="T59" s="3"/>
      <c r="U59" s="69">
        <f t="shared" si="28"/>
        <v>18.32</v>
      </c>
      <c r="V59" s="69">
        <f t="shared" si="29"/>
        <v>19.236000000000001</v>
      </c>
      <c r="W59" s="3"/>
      <c r="X59" s="3"/>
      <c r="Y59" s="3"/>
      <c r="Z59" s="3"/>
      <c r="AA59" s="3"/>
      <c r="AB59" s="3"/>
      <c r="AC59" s="3"/>
      <c r="AD59" s="3"/>
      <c r="AE59" s="3"/>
      <c r="AF59" s="3"/>
    </row>
    <row r="60" spans="1:32" customFormat="1" ht="13.8" x14ac:dyDescent="0.25">
      <c r="A60" s="16"/>
      <c r="B60" s="40"/>
      <c r="C60" s="45"/>
      <c r="D60" s="46"/>
      <c r="E60" s="46"/>
      <c r="F60" s="46"/>
      <c r="G60" s="46"/>
      <c r="H60" s="17"/>
      <c r="I60" s="17"/>
      <c r="J60" s="17"/>
      <c r="K60" s="17"/>
      <c r="L60" s="17"/>
      <c r="M60" s="17"/>
      <c r="N60" s="17"/>
      <c r="O60" s="17"/>
      <c r="P60" s="17"/>
      <c r="Q60" s="17"/>
      <c r="R60" s="3"/>
      <c r="S60" s="3"/>
      <c r="T60" s="53" t="s">
        <v>596</v>
      </c>
      <c r="U60" s="69">
        <f>SUM(U55:U59)</f>
        <v>2170.6650000000004</v>
      </c>
      <c r="V60" s="69">
        <f>SUM(V55:V59)</f>
        <v>2279.1982499999999</v>
      </c>
      <c r="W60" s="3"/>
      <c r="X60" s="3"/>
      <c r="Y60" s="3"/>
      <c r="Z60" s="3"/>
      <c r="AA60" s="3"/>
      <c r="AB60" s="3"/>
      <c r="AC60" s="3"/>
      <c r="AD60" s="3"/>
      <c r="AE60" s="3"/>
      <c r="AF60" s="3"/>
    </row>
    <row r="61" spans="1:32" customFormat="1" ht="34.200000000000003" customHeight="1" x14ac:dyDescent="0.25">
      <c r="A61" s="15" t="s">
        <v>35</v>
      </c>
      <c r="B61" s="25" t="s">
        <v>77</v>
      </c>
      <c r="C61" s="27">
        <v>3500</v>
      </c>
      <c r="D61" s="18">
        <f>SUM(E61/C61)</f>
        <v>1.0232393668653585</v>
      </c>
      <c r="E61" s="37">
        <f>SUM(U66)+(W223*C61)+(W233*C61)</f>
        <v>3581.3377840287549</v>
      </c>
      <c r="F61" s="56" t="s">
        <v>593</v>
      </c>
      <c r="G61" s="37">
        <f>SUM(V66)+(X223*C61)+(X233*C61)</f>
        <v>3766.0328806375992</v>
      </c>
      <c r="H61" s="17"/>
      <c r="I61" s="17"/>
      <c r="J61" s="17"/>
      <c r="K61" s="17"/>
      <c r="L61" s="17"/>
      <c r="M61" s="17"/>
      <c r="N61" s="17"/>
      <c r="O61" s="17"/>
      <c r="P61" s="17"/>
      <c r="Q61" s="17"/>
      <c r="R61" s="3"/>
      <c r="S61" s="3"/>
      <c r="T61" s="3"/>
      <c r="U61" s="3"/>
      <c r="V61" s="3"/>
      <c r="W61" s="3"/>
      <c r="X61" s="3"/>
      <c r="Y61" s="3"/>
      <c r="Z61" s="3"/>
      <c r="AA61" s="3"/>
      <c r="AB61" s="3"/>
      <c r="AC61" s="3"/>
      <c r="AD61" s="3"/>
      <c r="AE61" s="3"/>
      <c r="AF61" s="3"/>
    </row>
    <row r="62" spans="1:32" customFormat="1" ht="60.6" customHeight="1" x14ac:dyDescent="0.25">
      <c r="A62" s="16" t="s">
        <v>36</v>
      </c>
      <c r="B62" s="51" t="s">
        <v>268</v>
      </c>
      <c r="C62" s="19"/>
      <c r="D62" s="17"/>
      <c r="E62" s="17"/>
      <c r="F62" s="17"/>
      <c r="G62" s="17"/>
      <c r="H62" s="75" t="s">
        <v>268</v>
      </c>
      <c r="I62" s="78" t="s">
        <v>257</v>
      </c>
      <c r="J62" s="78">
        <v>5</v>
      </c>
      <c r="K62" s="78" t="s">
        <v>280</v>
      </c>
      <c r="L62" s="79">
        <v>660</v>
      </c>
      <c r="M62" s="78">
        <v>5</v>
      </c>
      <c r="N62" s="80">
        <f>SUM(O62-L62)</f>
        <v>33</v>
      </c>
      <c r="O62" s="79">
        <f>SUM(L62*1.05)</f>
        <v>693</v>
      </c>
      <c r="P62" s="78" t="s">
        <v>186</v>
      </c>
      <c r="Q62" s="75" t="s">
        <v>524</v>
      </c>
      <c r="R62" s="41">
        <f>SUM(R55:R61)</f>
        <v>720</v>
      </c>
      <c r="S62" s="41">
        <f>SUM(S55:S61)</f>
        <v>2980</v>
      </c>
      <c r="T62" s="49">
        <f>SUM(S62/R62)</f>
        <v>4.1388888888888893</v>
      </c>
      <c r="U62" s="42">
        <f>SUM(J62*L62)</f>
        <v>3300</v>
      </c>
      <c r="V62" s="42">
        <f>SUM(J62*O62)</f>
        <v>3465</v>
      </c>
      <c r="W62" s="3"/>
      <c r="X62" s="3"/>
      <c r="Y62" s="3"/>
      <c r="Z62" s="3"/>
      <c r="AA62" s="3"/>
      <c r="AB62" s="3"/>
      <c r="AC62" s="3"/>
      <c r="AD62" s="3"/>
      <c r="AE62" s="3"/>
      <c r="AF62" s="3"/>
    </row>
    <row r="63" spans="1:32" customFormat="1" ht="41.4" x14ac:dyDescent="0.25">
      <c r="A63" s="16" t="s">
        <v>265</v>
      </c>
      <c r="B63" s="40" t="s">
        <v>269</v>
      </c>
      <c r="C63" s="19"/>
      <c r="D63" s="17"/>
      <c r="E63" s="17"/>
      <c r="F63" s="17"/>
      <c r="G63" s="17"/>
      <c r="H63" s="78" t="s">
        <v>196</v>
      </c>
      <c r="I63" s="78" t="s">
        <v>185</v>
      </c>
      <c r="J63" s="78">
        <v>1</v>
      </c>
      <c r="K63" s="78" t="s">
        <v>270</v>
      </c>
      <c r="L63" s="79">
        <v>200</v>
      </c>
      <c r="M63" s="78">
        <v>5</v>
      </c>
      <c r="N63" s="80">
        <f>SUM(O63-L63)</f>
        <v>10</v>
      </c>
      <c r="O63" s="79">
        <f>SUM(L63*1.05)</f>
        <v>210</v>
      </c>
      <c r="P63" s="78" t="s">
        <v>186</v>
      </c>
      <c r="Q63" s="75" t="s">
        <v>525</v>
      </c>
      <c r="R63" s="3"/>
      <c r="S63" s="3"/>
      <c r="T63" s="3"/>
      <c r="U63" s="42">
        <f t="shared" ref="U63:U65" si="32">SUM(J63*L63)</f>
        <v>200</v>
      </c>
      <c r="V63" s="42">
        <f t="shared" ref="V63:V65" si="33">SUM(J63*O63)</f>
        <v>210</v>
      </c>
      <c r="W63" s="3"/>
      <c r="X63" s="3"/>
      <c r="Y63" s="3"/>
      <c r="Z63" s="3"/>
      <c r="AA63" s="3"/>
      <c r="AB63" s="3"/>
      <c r="AC63" s="3"/>
      <c r="AD63" s="3"/>
      <c r="AE63" s="3"/>
      <c r="AF63" s="3"/>
    </row>
    <row r="64" spans="1:32" customFormat="1" ht="41.4" x14ac:dyDescent="0.25">
      <c r="A64" s="16" t="s">
        <v>266</v>
      </c>
      <c r="B64" s="40" t="s">
        <v>194</v>
      </c>
      <c r="C64" s="19"/>
      <c r="D64" s="17"/>
      <c r="E64" s="17"/>
      <c r="F64" s="17"/>
      <c r="G64" s="17"/>
      <c r="H64" s="78" t="s">
        <v>197</v>
      </c>
      <c r="I64" s="78" t="s">
        <v>185</v>
      </c>
      <c r="J64" s="78">
        <v>0.1</v>
      </c>
      <c r="K64" s="78" t="s">
        <v>198</v>
      </c>
      <c r="L64" s="79">
        <v>183.2</v>
      </c>
      <c r="M64" s="78">
        <v>5</v>
      </c>
      <c r="N64" s="80">
        <f t="shared" ref="N64:N65" si="34">SUM(O64-L64)</f>
        <v>9.1599999999999966</v>
      </c>
      <c r="O64" s="79">
        <f t="shared" ref="O64:O65" si="35">SUM(L64*1.05)</f>
        <v>192.35999999999999</v>
      </c>
      <c r="P64" s="78" t="s">
        <v>186</v>
      </c>
      <c r="Q64" s="75" t="s">
        <v>526</v>
      </c>
      <c r="R64" s="3"/>
      <c r="S64" s="3"/>
      <c r="T64" s="3"/>
      <c r="U64" s="42">
        <f t="shared" si="32"/>
        <v>18.32</v>
      </c>
      <c r="V64" s="42">
        <f t="shared" si="33"/>
        <v>19.236000000000001</v>
      </c>
      <c r="W64" s="3"/>
      <c r="X64" s="3"/>
      <c r="Y64" s="3"/>
      <c r="Z64" s="3"/>
      <c r="AA64" s="3"/>
      <c r="AB64" s="3"/>
      <c r="AC64" s="3"/>
      <c r="AD64" s="3"/>
      <c r="AE64" s="3"/>
      <c r="AF64" s="3"/>
    </row>
    <row r="65" spans="1:32" customFormat="1" ht="41.4" x14ac:dyDescent="0.25">
      <c r="A65" s="16" t="s">
        <v>267</v>
      </c>
      <c r="B65" s="40" t="s">
        <v>195</v>
      </c>
      <c r="C65" s="19"/>
      <c r="D65" s="17"/>
      <c r="E65" s="17"/>
      <c r="F65" s="17"/>
      <c r="G65" s="17"/>
      <c r="H65" s="78" t="s">
        <v>197</v>
      </c>
      <c r="I65" s="78" t="s">
        <v>185</v>
      </c>
      <c r="J65" s="78">
        <v>0.1</v>
      </c>
      <c r="K65" s="78" t="s">
        <v>198</v>
      </c>
      <c r="L65" s="79">
        <v>183.2</v>
      </c>
      <c r="M65" s="78">
        <v>5</v>
      </c>
      <c r="N65" s="80">
        <f t="shared" si="34"/>
        <v>9.1599999999999966</v>
      </c>
      <c r="O65" s="79">
        <f t="shared" si="35"/>
        <v>192.35999999999999</v>
      </c>
      <c r="P65" s="78" t="s">
        <v>186</v>
      </c>
      <c r="Q65" s="75" t="s">
        <v>527</v>
      </c>
      <c r="R65" s="3"/>
      <c r="S65" s="3"/>
      <c r="T65" s="3"/>
      <c r="U65" s="42">
        <f t="shared" si="32"/>
        <v>18.32</v>
      </c>
      <c r="V65" s="42">
        <f t="shared" si="33"/>
        <v>19.236000000000001</v>
      </c>
      <c r="W65" s="3"/>
      <c r="X65" s="3"/>
      <c r="Y65" s="3"/>
      <c r="Z65" s="3"/>
      <c r="AA65" s="3"/>
      <c r="AB65" s="3"/>
      <c r="AC65" s="3"/>
      <c r="AD65" s="3"/>
      <c r="AE65" s="3"/>
      <c r="AF65" s="3"/>
    </row>
    <row r="66" spans="1:32" customFormat="1" ht="13.8" x14ac:dyDescent="0.25">
      <c r="A66" s="16"/>
      <c r="B66" s="40"/>
      <c r="C66" s="45"/>
      <c r="D66" s="46"/>
      <c r="E66" s="46"/>
      <c r="F66" s="46"/>
      <c r="G66" s="46"/>
      <c r="H66" s="17"/>
      <c r="I66" s="17"/>
      <c r="J66" s="17"/>
      <c r="K66" s="17"/>
      <c r="L66" s="17"/>
      <c r="M66" s="17"/>
      <c r="N66" s="17"/>
      <c r="O66" s="17"/>
      <c r="P66" s="17"/>
      <c r="Q66" s="17"/>
      <c r="R66" s="3"/>
      <c r="S66" s="3"/>
      <c r="T66" s="53" t="s">
        <v>596</v>
      </c>
      <c r="U66" s="44">
        <f>SUM(U62:U65)</f>
        <v>3536.6400000000003</v>
      </c>
      <c r="V66" s="44">
        <f>SUM(V62:V65)</f>
        <v>3713.4719999999998</v>
      </c>
      <c r="W66" s="3"/>
      <c r="X66" s="3"/>
      <c r="Y66" s="3"/>
      <c r="Z66" s="3"/>
      <c r="AA66" s="3"/>
      <c r="AB66" s="3"/>
      <c r="AC66" s="3"/>
      <c r="AD66" s="3"/>
      <c r="AE66" s="3"/>
      <c r="AF66" s="3"/>
    </row>
    <row r="67" spans="1:32" customFormat="1" ht="34.200000000000003" customHeight="1" x14ac:dyDescent="0.25">
      <c r="A67" s="15" t="s">
        <v>37</v>
      </c>
      <c r="B67" s="25" t="s">
        <v>78</v>
      </c>
      <c r="C67" s="27">
        <v>2000</v>
      </c>
      <c r="D67" s="18">
        <f>SUM(E67/C67)</f>
        <v>0.14510329543678699</v>
      </c>
      <c r="E67" s="37">
        <f>SUM(U72)+(W223*C67)+(W233*C67)</f>
        <v>290.20659087357399</v>
      </c>
      <c r="F67" s="56" t="s">
        <v>593</v>
      </c>
      <c r="G67" s="37">
        <f>SUM(V72)+(X223*C67)+(X233*C67)</f>
        <v>307.93303893577121</v>
      </c>
      <c r="H67" s="17"/>
      <c r="I67" s="17"/>
      <c r="J67" s="17"/>
      <c r="K67" s="17"/>
      <c r="L67" s="17"/>
      <c r="M67" s="17"/>
      <c r="N67" s="17"/>
      <c r="O67" s="17"/>
      <c r="P67" s="17"/>
      <c r="Q67" s="17"/>
      <c r="R67" s="3"/>
      <c r="S67" s="3"/>
      <c r="T67" s="3"/>
      <c r="U67" s="3"/>
      <c r="V67" s="3"/>
      <c r="W67" s="3"/>
      <c r="X67" s="3"/>
      <c r="Y67" s="3"/>
      <c r="Z67" s="3"/>
      <c r="AA67" s="3"/>
      <c r="AB67" s="3"/>
      <c r="AC67" s="3"/>
      <c r="AD67" s="3"/>
      <c r="AE67" s="3"/>
      <c r="AF67" s="3"/>
    </row>
    <row r="68" spans="1:32" customFormat="1" ht="60.6" customHeight="1" x14ac:dyDescent="0.25">
      <c r="A68" s="16" t="s">
        <v>38</v>
      </c>
      <c r="B68" s="59" t="s">
        <v>278</v>
      </c>
      <c r="C68" s="19"/>
      <c r="D68" s="17"/>
      <c r="E68" s="17"/>
      <c r="F68" s="17"/>
      <c r="G68" s="17"/>
      <c r="H68" s="75" t="s">
        <v>278</v>
      </c>
      <c r="I68" s="78" t="s">
        <v>185</v>
      </c>
      <c r="J68" s="78">
        <v>1</v>
      </c>
      <c r="K68" s="78" t="s">
        <v>279</v>
      </c>
      <c r="L68" s="79">
        <v>220</v>
      </c>
      <c r="M68" s="78">
        <v>5</v>
      </c>
      <c r="N68" s="80">
        <f>SUM(O68-L68)</f>
        <v>11</v>
      </c>
      <c r="O68" s="79">
        <f>SUM(L68*1.05)</f>
        <v>231</v>
      </c>
      <c r="P68" s="78" t="s">
        <v>237</v>
      </c>
      <c r="Q68" s="75" t="s">
        <v>274</v>
      </c>
      <c r="R68" s="41">
        <f>SUM(4*1830)</f>
        <v>7320</v>
      </c>
      <c r="S68" s="41">
        <f>SUM(2000+480)</f>
        <v>2480</v>
      </c>
      <c r="T68" s="49">
        <f>SUM(((120/90)/4)*2)</f>
        <v>0.66666666666666663</v>
      </c>
      <c r="U68" s="42">
        <f>SUM(J68*L68)</f>
        <v>220</v>
      </c>
      <c r="V68" s="42">
        <f>SUM(J68*O68)</f>
        <v>231</v>
      </c>
      <c r="W68" s="3"/>
      <c r="X68" s="3"/>
      <c r="Y68" s="3"/>
      <c r="Z68" s="3"/>
      <c r="AA68" s="3"/>
      <c r="AB68" s="3"/>
      <c r="AC68" s="3"/>
      <c r="AD68" s="3"/>
      <c r="AE68" s="3"/>
      <c r="AF68" s="3"/>
    </row>
    <row r="69" spans="1:32" customFormat="1" ht="41.4" x14ac:dyDescent="0.25">
      <c r="A69" s="16" t="s">
        <v>271</v>
      </c>
      <c r="B69" s="40" t="s">
        <v>193</v>
      </c>
      <c r="C69" s="19"/>
      <c r="D69" s="17"/>
      <c r="E69" s="17"/>
      <c r="F69" s="17"/>
      <c r="G69" s="17"/>
      <c r="H69" s="78" t="s">
        <v>196</v>
      </c>
      <c r="I69" s="78" t="s">
        <v>185</v>
      </c>
      <c r="J69" s="78">
        <v>0.05</v>
      </c>
      <c r="K69" s="78" t="s">
        <v>281</v>
      </c>
      <c r="L69" s="79">
        <v>160.5</v>
      </c>
      <c r="M69" s="78">
        <v>5</v>
      </c>
      <c r="N69" s="80">
        <f>SUM(O69-L69)</f>
        <v>8.0250000000000057</v>
      </c>
      <c r="O69" s="79">
        <f>SUM(L69*1.05)</f>
        <v>168.52500000000001</v>
      </c>
      <c r="P69" s="78" t="s">
        <v>186</v>
      </c>
      <c r="Q69" s="75" t="s">
        <v>275</v>
      </c>
      <c r="R69" s="3"/>
      <c r="S69" s="3"/>
      <c r="T69" s="3"/>
      <c r="U69" s="42">
        <f t="shared" ref="U69:U71" si="36">SUM(J69*L69)</f>
        <v>8.0250000000000004</v>
      </c>
      <c r="V69" s="42">
        <f t="shared" ref="V69:V71" si="37">SUM(J69*O69)</f>
        <v>8.4262500000000014</v>
      </c>
      <c r="W69" s="3"/>
      <c r="X69" s="3"/>
      <c r="Y69" s="3"/>
      <c r="Z69" s="3"/>
      <c r="AA69" s="3"/>
      <c r="AB69" s="3"/>
      <c r="AC69" s="3"/>
      <c r="AD69" s="3"/>
      <c r="AE69" s="3"/>
      <c r="AF69" s="3"/>
    </row>
    <row r="70" spans="1:32" customFormat="1" ht="41.4" x14ac:dyDescent="0.25">
      <c r="A70" s="16" t="s">
        <v>272</v>
      </c>
      <c r="B70" s="40" t="s">
        <v>194</v>
      </c>
      <c r="C70" s="19"/>
      <c r="D70" s="17"/>
      <c r="E70" s="17"/>
      <c r="F70" s="17"/>
      <c r="G70" s="17"/>
      <c r="H70" s="78" t="s">
        <v>197</v>
      </c>
      <c r="I70" s="78" t="s">
        <v>185</v>
      </c>
      <c r="J70" s="78">
        <v>0.1</v>
      </c>
      <c r="K70" s="78" t="s">
        <v>198</v>
      </c>
      <c r="L70" s="79">
        <v>183.2</v>
      </c>
      <c r="M70" s="78">
        <v>5</v>
      </c>
      <c r="N70" s="80">
        <f t="shared" ref="N70:N71" si="38">SUM(O70-L70)</f>
        <v>9.1599999999999966</v>
      </c>
      <c r="O70" s="79">
        <f t="shared" ref="O70:O71" si="39">SUM(L70*1.05)</f>
        <v>192.35999999999999</v>
      </c>
      <c r="P70" s="78" t="s">
        <v>186</v>
      </c>
      <c r="Q70" s="75" t="s">
        <v>276</v>
      </c>
      <c r="R70" s="3"/>
      <c r="S70" s="3"/>
      <c r="T70" s="3"/>
      <c r="U70" s="42">
        <f t="shared" si="36"/>
        <v>18.32</v>
      </c>
      <c r="V70" s="42">
        <f t="shared" si="37"/>
        <v>19.236000000000001</v>
      </c>
      <c r="W70" s="3"/>
      <c r="X70" s="3"/>
      <c r="Y70" s="3"/>
      <c r="Z70" s="3"/>
      <c r="AA70" s="3"/>
      <c r="AB70" s="3"/>
      <c r="AC70" s="3"/>
      <c r="AD70" s="3"/>
      <c r="AE70" s="3"/>
      <c r="AF70" s="3"/>
    </row>
    <row r="71" spans="1:32" customFormat="1" ht="41.4" x14ac:dyDescent="0.25">
      <c r="A71" s="16" t="s">
        <v>273</v>
      </c>
      <c r="B71" s="40" t="s">
        <v>195</v>
      </c>
      <c r="C71" s="19"/>
      <c r="D71" s="17"/>
      <c r="E71" s="17"/>
      <c r="F71" s="17"/>
      <c r="G71" s="17"/>
      <c r="H71" s="78" t="s">
        <v>197</v>
      </c>
      <c r="I71" s="78" t="s">
        <v>185</v>
      </c>
      <c r="J71" s="78">
        <v>0.1</v>
      </c>
      <c r="K71" s="78" t="s">
        <v>198</v>
      </c>
      <c r="L71" s="79">
        <v>183.2</v>
      </c>
      <c r="M71" s="78">
        <v>5</v>
      </c>
      <c r="N71" s="80">
        <f t="shared" si="38"/>
        <v>9.1599999999999966</v>
      </c>
      <c r="O71" s="79">
        <f t="shared" si="39"/>
        <v>192.35999999999999</v>
      </c>
      <c r="P71" s="78" t="s">
        <v>186</v>
      </c>
      <c r="Q71" s="75" t="s">
        <v>277</v>
      </c>
      <c r="R71" s="3"/>
      <c r="S71" s="3"/>
      <c r="T71" s="3"/>
      <c r="U71" s="42">
        <f t="shared" si="36"/>
        <v>18.32</v>
      </c>
      <c r="V71" s="42">
        <f t="shared" si="37"/>
        <v>19.236000000000001</v>
      </c>
      <c r="W71" s="3"/>
      <c r="X71" s="3"/>
      <c r="Y71" s="3"/>
      <c r="Z71" s="3"/>
      <c r="AA71" s="3"/>
      <c r="AB71" s="3"/>
      <c r="AC71" s="3"/>
      <c r="AD71" s="3"/>
      <c r="AE71" s="3"/>
      <c r="AF71" s="3"/>
    </row>
    <row r="72" spans="1:32" customFormat="1" ht="13.8" x14ac:dyDescent="0.25">
      <c r="A72" s="16"/>
      <c r="B72" s="40"/>
      <c r="C72" s="45"/>
      <c r="D72" s="46"/>
      <c r="E72" s="46"/>
      <c r="F72" s="46"/>
      <c r="G72" s="46"/>
      <c r="H72" s="17"/>
      <c r="I72" s="17"/>
      <c r="J72" s="17"/>
      <c r="K72" s="17"/>
      <c r="L72" s="17"/>
      <c r="M72" s="17"/>
      <c r="N72" s="17"/>
      <c r="O72" s="17"/>
      <c r="P72" s="17"/>
      <c r="Q72" s="17"/>
      <c r="R72" s="3"/>
      <c r="S72" s="3"/>
      <c r="T72" s="53" t="s">
        <v>596</v>
      </c>
      <c r="U72" s="44">
        <f>SUM(U68:U71)</f>
        <v>264.66500000000002</v>
      </c>
      <c r="V72" s="44">
        <f>SUM(V68:V71)</f>
        <v>277.89825000000002</v>
      </c>
      <c r="W72" s="3"/>
      <c r="X72" s="3"/>
      <c r="Y72" s="3"/>
      <c r="Z72" s="3"/>
      <c r="AA72" s="3"/>
      <c r="AB72" s="3"/>
      <c r="AC72" s="3"/>
      <c r="AD72" s="3"/>
      <c r="AE72" s="3"/>
      <c r="AF72" s="3"/>
    </row>
    <row r="73" spans="1:32" customFormat="1" ht="34.200000000000003" customHeight="1" x14ac:dyDescent="0.25">
      <c r="A73" s="15" t="s">
        <v>39</v>
      </c>
      <c r="B73" s="25" t="s">
        <v>79</v>
      </c>
      <c r="C73" s="27">
        <v>3000</v>
      </c>
      <c r="D73" s="18">
        <f>SUM(E73/C73)</f>
        <v>0.82797079543678698</v>
      </c>
      <c r="E73" s="37">
        <f>SUM(U77)+(W223*C73)+(W233*C73)</f>
        <v>2483.9123863103609</v>
      </c>
      <c r="F73" s="56" t="s">
        <v>593</v>
      </c>
      <c r="G73" s="37">
        <f>SUM(V77)+(X223*C73)+(X233*C73)</f>
        <v>2612.9321834036568</v>
      </c>
      <c r="H73" s="17"/>
      <c r="I73" s="17"/>
      <c r="J73" s="17"/>
      <c r="K73" s="17"/>
      <c r="L73" s="17"/>
      <c r="M73" s="17"/>
      <c r="N73" s="17"/>
      <c r="O73" s="17"/>
      <c r="P73" s="17"/>
      <c r="Q73" s="17"/>
      <c r="R73" s="3"/>
      <c r="S73" s="3"/>
      <c r="T73" s="3"/>
      <c r="U73" s="3"/>
      <c r="V73" s="3"/>
      <c r="W73" s="3"/>
      <c r="X73" s="3"/>
      <c r="Y73" s="3"/>
      <c r="Z73" s="3"/>
      <c r="AA73" s="3"/>
      <c r="AB73" s="3"/>
      <c r="AC73" s="3"/>
      <c r="AD73" s="3"/>
      <c r="AE73" s="3"/>
      <c r="AF73" s="3"/>
    </row>
    <row r="74" spans="1:32" customFormat="1" ht="60.6" customHeight="1" x14ac:dyDescent="0.25">
      <c r="A74" s="16" t="s">
        <v>40</v>
      </c>
      <c r="B74" s="59" t="s">
        <v>528</v>
      </c>
      <c r="C74" s="19"/>
      <c r="D74" s="17"/>
      <c r="E74" s="17"/>
      <c r="F74" s="17"/>
      <c r="G74" s="17"/>
      <c r="H74" s="75" t="s">
        <v>528</v>
      </c>
      <c r="I74" s="78" t="s">
        <v>185</v>
      </c>
      <c r="J74" s="78">
        <v>3</v>
      </c>
      <c r="K74" s="78" t="s">
        <v>288</v>
      </c>
      <c r="L74" s="79">
        <v>715.6</v>
      </c>
      <c r="M74" s="78">
        <v>5</v>
      </c>
      <c r="N74" s="80">
        <f>SUM(O74-L74)</f>
        <v>35.780000000000086</v>
      </c>
      <c r="O74" s="78">
        <f>SUM(L74*1.05)</f>
        <v>751.38000000000011</v>
      </c>
      <c r="P74" s="78" t="s">
        <v>186</v>
      </c>
      <c r="Q74" s="75" t="s">
        <v>287</v>
      </c>
      <c r="R74" s="41">
        <f>SUM(4*350)</f>
        <v>1400</v>
      </c>
      <c r="S74" s="41">
        <f>SUM(3000+480)</f>
        <v>3480</v>
      </c>
      <c r="T74" s="49">
        <f>SUM(S74/R74)</f>
        <v>2.4857142857142858</v>
      </c>
      <c r="U74" s="42">
        <f>SUM(J74*L74)</f>
        <v>2146.8000000000002</v>
      </c>
      <c r="V74" s="42">
        <f>SUM(J74*O74)</f>
        <v>2254.1400000000003</v>
      </c>
      <c r="W74" s="3"/>
      <c r="X74" s="3"/>
      <c r="Y74" s="3"/>
      <c r="Z74" s="3"/>
      <c r="AA74" s="3"/>
      <c r="AB74" s="3"/>
      <c r="AC74" s="3"/>
      <c r="AD74" s="3"/>
      <c r="AE74" s="3"/>
      <c r="AF74" s="3"/>
    </row>
    <row r="75" spans="1:32" customFormat="1" ht="60.6" customHeight="1" x14ac:dyDescent="0.25">
      <c r="A75" s="16" t="s">
        <v>282</v>
      </c>
      <c r="B75" s="40" t="s">
        <v>285</v>
      </c>
      <c r="C75" s="19"/>
      <c r="D75" s="17"/>
      <c r="E75" s="17"/>
      <c r="F75" s="17"/>
      <c r="G75" s="17"/>
      <c r="H75" s="75" t="s">
        <v>286</v>
      </c>
      <c r="I75" s="78" t="s">
        <v>185</v>
      </c>
      <c r="J75" s="78">
        <v>2</v>
      </c>
      <c r="K75" s="78" t="s">
        <v>300</v>
      </c>
      <c r="L75" s="79">
        <v>99.6</v>
      </c>
      <c r="M75" s="78">
        <v>5</v>
      </c>
      <c r="N75" s="80">
        <f>SUM(O75-L75)</f>
        <v>4.980000000000004</v>
      </c>
      <c r="O75" s="79">
        <f>SUM(L75*1.05)</f>
        <v>104.58</v>
      </c>
      <c r="P75" s="78" t="s">
        <v>186</v>
      </c>
      <c r="Q75" s="75" t="s">
        <v>289</v>
      </c>
      <c r="R75" s="3"/>
      <c r="S75" s="3"/>
      <c r="T75" s="3"/>
      <c r="U75" s="42">
        <f t="shared" ref="U75:U76" si="40">SUM(J75*L75)</f>
        <v>199.2</v>
      </c>
      <c r="V75" s="42">
        <f t="shared" ref="V75:V76" si="41">SUM(J75*O75)</f>
        <v>209.16</v>
      </c>
      <c r="W75" s="3"/>
      <c r="X75" s="3"/>
      <c r="Y75" s="3"/>
      <c r="Z75" s="3"/>
      <c r="AA75" s="3"/>
      <c r="AB75" s="3"/>
      <c r="AC75" s="3"/>
      <c r="AD75" s="3"/>
      <c r="AE75" s="3"/>
      <c r="AF75" s="3"/>
    </row>
    <row r="76" spans="1:32" customFormat="1" ht="56.4" x14ac:dyDescent="0.25">
      <c r="A76" s="16" t="s">
        <v>283</v>
      </c>
      <c r="B76" s="40" t="s">
        <v>292</v>
      </c>
      <c r="C76" s="19"/>
      <c r="D76" s="17"/>
      <c r="E76" s="17"/>
      <c r="F76" s="17"/>
      <c r="G76" s="17"/>
      <c r="H76" s="78" t="s">
        <v>197</v>
      </c>
      <c r="I76" s="78" t="s">
        <v>185</v>
      </c>
      <c r="J76" s="78">
        <v>1</v>
      </c>
      <c r="K76" s="78" t="s">
        <v>290</v>
      </c>
      <c r="L76" s="79">
        <v>99.6</v>
      </c>
      <c r="M76" s="78">
        <v>5</v>
      </c>
      <c r="N76" s="80">
        <f t="shared" ref="N76" si="42">SUM(O76-L76)</f>
        <v>4.980000000000004</v>
      </c>
      <c r="O76" s="79">
        <f t="shared" ref="O76" si="43">SUM(L76*1.05)</f>
        <v>104.58</v>
      </c>
      <c r="P76" s="78" t="s">
        <v>186</v>
      </c>
      <c r="Q76" s="75" t="s">
        <v>598</v>
      </c>
      <c r="R76" s="3"/>
      <c r="S76" s="3"/>
      <c r="T76" s="3"/>
      <c r="U76" s="42">
        <f t="shared" si="40"/>
        <v>99.6</v>
      </c>
      <c r="V76" s="42">
        <f t="shared" si="41"/>
        <v>104.58</v>
      </c>
      <c r="W76" s="3"/>
      <c r="X76" s="3"/>
      <c r="Y76" s="3"/>
      <c r="Z76" s="3"/>
      <c r="AA76" s="3"/>
      <c r="AB76" s="3"/>
      <c r="AC76" s="3"/>
      <c r="AD76" s="3"/>
      <c r="AE76" s="3"/>
      <c r="AF76" s="3"/>
    </row>
    <row r="77" spans="1:32" customFormat="1" ht="13.8" x14ac:dyDescent="0.25">
      <c r="A77" s="16" t="s">
        <v>284</v>
      </c>
      <c r="B77" s="40"/>
      <c r="C77" s="19"/>
      <c r="D77" s="17"/>
      <c r="E77" s="17"/>
      <c r="F77" s="17"/>
      <c r="G77" s="17"/>
      <c r="H77" s="17"/>
      <c r="I77" s="17"/>
      <c r="J77" s="17"/>
      <c r="K77" s="17"/>
      <c r="L77" s="17"/>
      <c r="M77" s="17"/>
      <c r="N77" s="17"/>
      <c r="O77" s="17"/>
      <c r="P77" s="17"/>
      <c r="Q77" s="17"/>
      <c r="R77" s="3"/>
      <c r="S77" s="3"/>
      <c r="T77" s="53" t="s">
        <v>596</v>
      </c>
      <c r="U77" s="44">
        <f>SUM(U74:U76)</f>
        <v>2445.6</v>
      </c>
      <c r="V77" s="44">
        <f>SUM(V74:V76)</f>
        <v>2567.88</v>
      </c>
      <c r="W77" s="3"/>
      <c r="X77" s="3"/>
      <c r="Y77" s="3"/>
      <c r="Z77" s="3"/>
      <c r="AA77" s="3"/>
      <c r="AB77" s="3"/>
      <c r="AC77" s="3"/>
      <c r="AD77" s="3"/>
      <c r="AE77" s="3"/>
      <c r="AF77" s="3"/>
    </row>
    <row r="78" spans="1:32" customFormat="1" ht="46.2" customHeight="1" x14ac:dyDescent="0.25">
      <c r="A78" s="15" t="s">
        <v>41</v>
      </c>
      <c r="B78" s="25" t="s">
        <v>80</v>
      </c>
      <c r="C78" s="27">
        <v>2000</v>
      </c>
      <c r="D78" s="18">
        <f>SUM(E78/C78)</f>
        <v>0.55217079543678704</v>
      </c>
      <c r="E78" s="37">
        <f>SUM(U82)+(W223*C78)+(W233*C78)</f>
        <v>1104.341590873574</v>
      </c>
      <c r="F78" s="56" t="s">
        <v>593</v>
      </c>
      <c r="G78" s="37">
        <f>SUM(V82)+(X223*C78)+(X233*C78)</f>
        <v>1162.7747889357713</v>
      </c>
      <c r="H78" s="17"/>
      <c r="I78" s="17"/>
      <c r="J78" s="17"/>
      <c r="K78" s="17"/>
      <c r="L78" s="17"/>
      <c r="M78" s="17"/>
      <c r="N78" s="17"/>
      <c r="O78" s="17"/>
      <c r="P78" s="17"/>
      <c r="Q78" s="17"/>
      <c r="R78" s="3"/>
      <c r="S78" s="3"/>
      <c r="T78" s="3"/>
      <c r="U78" s="3"/>
      <c r="V78" s="3"/>
      <c r="W78" s="3"/>
      <c r="X78" s="3"/>
      <c r="Y78" s="3"/>
      <c r="Z78" s="3"/>
      <c r="AA78" s="3"/>
      <c r="AB78" s="3"/>
      <c r="AC78" s="3"/>
      <c r="AD78" s="3"/>
      <c r="AE78" s="3"/>
      <c r="AF78" s="3"/>
    </row>
    <row r="79" spans="1:32" customFormat="1" ht="60.6" customHeight="1" x14ac:dyDescent="0.25">
      <c r="A79" s="16" t="s">
        <v>42</v>
      </c>
      <c r="B79" s="59" t="s">
        <v>529</v>
      </c>
      <c r="C79" s="19"/>
      <c r="D79" s="17"/>
      <c r="E79" s="17"/>
      <c r="F79" s="17"/>
      <c r="G79" s="17"/>
      <c r="H79" s="75" t="s">
        <v>529</v>
      </c>
      <c r="I79" s="78" t="s">
        <v>185</v>
      </c>
      <c r="J79" s="78">
        <v>2</v>
      </c>
      <c r="K79" s="78" t="s">
        <v>288</v>
      </c>
      <c r="L79" s="79">
        <v>390</v>
      </c>
      <c r="M79" s="78">
        <v>5</v>
      </c>
      <c r="N79" s="79">
        <f>SUM(O79-L79)</f>
        <v>19.5</v>
      </c>
      <c r="O79" s="79">
        <f>SUM(L79*1.05)</f>
        <v>409.5</v>
      </c>
      <c r="P79" s="78" t="s">
        <v>186</v>
      </c>
      <c r="Q79" s="75" t="s">
        <v>296</v>
      </c>
      <c r="R79" s="41">
        <f>SUM(4*350)</f>
        <v>1400</v>
      </c>
      <c r="S79" s="41">
        <f>SUM(2000+480)</f>
        <v>2480</v>
      </c>
      <c r="T79" s="49">
        <f>SUM(S79/R79)</f>
        <v>1.7714285714285714</v>
      </c>
      <c r="U79" s="42">
        <f>SUM(J79*L79)</f>
        <v>780</v>
      </c>
      <c r="V79" s="42">
        <f>SUM(J79*O79)</f>
        <v>819</v>
      </c>
      <c r="W79" s="3"/>
      <c r="X79" s="3"/>
      <c r="Y79" s="3"/>
      <c r="Z79" s="3"/>
      <c r="AA79" s="3"/>
      <c r="AB79" s="3"/>
      <c r="AC79" s="3"/>
      <c r="AD79" s="3"/>
      <c r="AE79" s="3"/>
      <c r="AF79" s="3"/>
    </row>
    <row r="80" spans="1:32" customFormat="1" ht="60.6" customHeight="1" x14ac:dyDescent="0.25">
      <c r="A80" s="16" t="s">
        <v>293</v>
      </c>
      <c r="B80" s="40" t="s">
        <v>298</v>
      </c>
      <c r="C80" s="19"/>
      <c r="D80" s="17"/>
      <c r="E80" s="17"/>
      <c r="F80" s="17"/>
      <c r="G80" s="17"/>
      <c r="H80" s="75" t="s">
        <v>297</v>
      </c>
      <c r="I80" s="78" t="s">
        <v>185</v>
      </c>
      <c r="J80" s="78">
        <v>2</v>
      </c>
      <c r="K80" s="78" t="s">
        <v>291</v>
      </c>
      <c r="L80" s="79">
        <v>99.6</v>
      </c>
      <c r="M80" s="78">
        <v>5</v>
      </c>
      <c r="N80" s="79">
        <f t="shared" ref="N80:N81" si="44">SUM(O80-L80)</f>
        <v>4.980000000000004</v>
      </c>
      <c r="O80" s="79">
        <f t="shared" ref="O80:O81" si="45">SUM(L80*1.05)</f>
        <v>104.58</v>
      </c>
      <c r="P80" s="78" t="s">
        <v>186</v>
      </c>
      <c r="Q80" s="75" t="s">
        <v>299</v>
      </c>
      <c r="R80" s="3"/>
      <c r="S80" s="3"/>
      <c r="T80" s="3"/>
      <c r="U80" s="42">
        <f t="shared" ref="U80:U81" si="46">SUM(J80*L80)</f>
        <v>199.2</v>
      </c>
      <c r="V80" s="42">
        <f t="shared" ref="V80:V81" si="47">SUM(J80*O80)</f>
        <v>209.16</v>
      </c>
      <c r="W80" s="3"/>
      <c r="X80" s="3"/>
      <c r="Y80" s="3"/>
      <c r="Z80" s="3"/>
      <c r="AA80" s="3"/>
      <c r="AB80" s="3"/>
      <c r="AC80" s="3"/>
      <c r="AD80" s="3"/>
      <c r="AE80" s="3"/>
      <c r="AF80" s="3"/>
    </row>
    <row r="81" spans="1:32" customFormat="1" ht="56.4" x14ac:dyDescent="0.25">
      <c r="A81" s="16" t="s">
        <v>294</v>
      </c>
      <c r="B81" s="40" t="s">
        <v>292</v>
      </c>
      <c r="C81" s="19"/>
      <c r="D81" s="17"/>
      <c r="E81" s="17"/>
      <c r="F81" s="17"/>
      <c r="G81" s="17"/>
      <c r="H81" s="78" t="s">
        <v>197</v>
      </c>
      <c r="I81" s="78" t="s">
        <v>185</v>
      </c>
      <c r="J81" s="78">
        <v>1</v>
      </c>
      <c r="K81" s="78" t="s">
        <v>290</v>
      </c>
      <c r="L81" s="79">
        <v>99.6</v>
      </c>
      <c r="M81" s="78">
        <v>5</v>
      </c>
      <c r="N81" s="79">
        <f t="shared" si="44"/>
        <v>4.980000000000004</v>
      </c>
      <c r="O81" s="79">
        <f t="shared" si="45"/>
        <v>104.58</v>
      </c>
      <c r="P81" s="78" t="s">
        <v>186</v>
      </c>
      <c r="Q81" s="75" t="s">
        <v>597</v>
      </c>
      <c r="R81" s="3"/>
      <c r="S81" s="3"/>
      <c r="T81" s="3"/>
      <c r="U81" s="42">
        <f t="shared" si="46"/>
        <v>99.6</v>
      </c>
      <c r="V81" s="42">
        <f t="shared" si="47"/>
        <v>104.58</v>
      </c>
      <c r="W81" s="3"/>
      <c r="X81" s="3"/>
      <c r="Y81" s="3"/>
      <c r="Z81" s="3"/>
      <c r="AA81" s="3"/>
      <c r="AB81" s="3"/>
      <c r="AC81" s="3"/>
      <c r="AD81" s="3"/>
      <c r="AE81" s="3"/>
      <c r="AF81" s="3"/>
    </row>
    <row r="82" spans="1:32" customFormat="1" ht="13.8" x14ac:dyDescent="0.25">
      <c r="A82" s="16" t="s">
        <v>295</v>
      </c>
      <c r="B82" s="26"/>
      <c r="C82" s="19"/>
      <c r="D82" s="17"/>
      <c r="E82" s="17"/>
      <c r="F82" s="17"/>
      <c r="G82" s="17"/>
      <c r="H82" s="17"/>
      <c r="I82" s="17"/>
      <c r="J82" s="17"/>
      <c r="K82" s="17"/>
      <c r="L82" s="17"/>
      <c r="M82" s="17"/>
      <c r="N82" s="17"/>
      <c r="O82" s="17"/>
      <c r="P82" s="17"/>
      <c r="Q82" s="17"/>
      <c r="R82" s="3"/>
      <c r="S82" s="3"/>
      <c r="T82" s="53" t="s">
        <v>596</v>
      </c>
      <c r="U82" s="44">
        <f>SUM(U79:U81)</f>
        <v>1078.8</v>
      </c>
      <c r="V82" s="44">
        <f>SUM(V79:V81)</f>
        <v>1132.74</v>
      </c>
      <c r="W82" s="3"/>
      <c r="X82" s="3"/>
      <c r="Y82" s="3"/>
      <c r="Z82" s="3"/>
      <c r="AA82" s="3"/>
      <c r="AB82" s="3"/>
      <c r="AC82" s="3"/>
      <c r="AD82" s="3"/>
      <c r="AE82" s="3"/>
      <c r="AF82" s="3"/>
    </row>
    <row r="83" spans="1:32" customFormat="1" ht="46.2" customHeight="1" x14ac:dyDescent="0.25">
      <c r="A83" s="15" t="s">
        <v>43</v>
      </c>
      <c r="B83" s="25" t="s">
        <v>81</v>
      </c>
      <c r="C83" s="27">
        <v>2500</v>
      </c>
      <c r="D83" s="18">
        <f>SUM(E83/C83)</f>
        <v>0.193836795436787</v>
      </c>
      <c r="E83" s="37">
        <f>SUM(U88)+(W223*C83)+(W233*C83)</f>
        <v>484.59198859196749</v>
      </c>
      <c r="F83" s="56" t="s">
        <v>593</v>
      </c>
      <c r="G83" s="37">
        <f>SUM(V88)+(X223*C83)+(X233*C83)</f>
        <v>512.84173616971395</v>
      </c>
      <c r="H83" s="17"/>
      <c r="I83" s="17"/>
      <c r="J83" s="17"/>
      <c r="K83" s="17"/>
      <c r="L83" s="17"/>
      <c r="M83" s="17"/>
      <c r="N83" s="17"/>
      <c r="O83" s="17"/>
      <c r="P83" s="17"/>
      <c r="Q83" s="17"/>
      <c r="R83" s="3"/>
      <c r="S83" s="3"/>
      <c r="T83" s="3"/>
      <c r="U83" s="3"/>
      <c r="V83" s="3"/>
      <c r="W83" s="3"/>
      <c r="X83" s="3"/>
      <c r="Y83" s="3"/>
      <c r="Z83" s="3"/>
      <c r="AA83" s="3"/>
      <c r="AB83" s="3"/>
      <c r="AC83" s="3"/>
      <c r="AD83" s="3"/>
      <c r="AE83" s="3"/>
      <c r="AF83" s="3"/>
    </row>
    <row r="84" spans="1:32" customFormat="1" ht="63" customHeight="1" x14ac:dyDescent="0.25">
      <c r="A84" s="16" t="s">
        <v>44</v>
      </c>
      <c r="B84" s="59" t="s">
        <v>530</v>
      </c>
      <c r="C84" s="19"/>
      <c r="D84" s="17"/>
      <c r="E84" s="17"/>
      <c r="F84" s="17"/>
      <c r="G84" s="17"/>
      <c r="H84" s="75" t="s">
        <v>530</v>
      </c>
      <c r="I84" s="78" t="s">
        <v>185</v>
      </c>
      <c r="J84" s="78">
        <v>2</v>
      </c>
      <c r="K84" s="78" t="s">
        <v>308</v>
      </c>
      <c r="L84" s="79">
        <v>204</v>
      </c>
      <c r="M84" s="78">
        <v>5</v>
      </c>
      <c r="N84" s="80">
        <f>SUM(O84-L84)</f>
        <v>10.200000000000017</v>
      </c>
      <c r="O84" s="79">
        <f>SUM(L84*1.05)</f>
        <v>214.20000000000002</v>
      </c>
      <c r="P84" s="78" t="s">
        <v>186</v>
      </c>
      <c r="Q84" s="75" t="s">
        <v>304</v>
      </c>
      <c r="R84" s="41">
        <f>SUM(4*750)</f>
        <v>3000</v>
      </c>
      <c r="S84" s="41">
        <f>SUM(2500+480)</f>
        <v>2980</v>
      </c>
      <c r="T84" s="68">
        <f>SUM(((120/30)/4)*2)</f>
        <v>2</v>
      </c>
      <c r="U84" s="42">
        <f>SUM(J84*L84)</f>
        <v>408</v>
      </c>
      <c r="V84" s="42">
        <f>SUM(J84*O84)</f>
        <v>428.40000000000003</v>
      </c>
      <c r="W84" s="3"/>
      <c r="X84" s="3"/>
      <c r="Y84" s="3"/>
      <c r="Z84" s="3"/>
      <c r="AA84" s="3"/>
      <c r="AB84" s="3"/>
      <c r="AC84" s="3"/>
      <c r="AD84" s="3"/>
      <c r="AE84" s="3"/>
      <c r="AF84" s="3"/>
    </row>
    <row r="85" spans="1:32" customFormat="1" ht="63" customHeight="1" x14ac:dyDescent="0.25">
      <c r="A85" s="16" t="s">
        <v>301</v>
      </c>
      <c r="B85" s="40" t="s">
        <v>193</v>
      </c>
      <c r="C85" s="19"/>
      <c r="D85" s="17"/>
      <c r="E85" s="17"/>
      <c r="F85" s="17"/>
      <c r="G85" s="17"/>
      <c r="H85" s="78" t="s">
        <v>196</v>
      </c>
      <c r="I85" s="78" t="s">
        <v>185</v>
      </c>
      <c r="J85" s="78">
        <v>0.05</v>
      </c>
      <c r="K85" s="78" t="s">
        <v>198</v>
      </c>
      <c r="L85" s="79">
        <v>160.5</v>
      </c>
      <c r="M85" s="78">
        <v>5</v>
      </c>
      <c r="N85" s="80">
        <f t="shared" ref="N85:N87" si="48">SUM(O85-L85)</f>
        <v>8.0250000000000057</v>
      </c>
      <c r="O85" s="79">
        <f t="shared" ref="O85:O87" si="49">SUM(L85*1.05)</f>
        <v>168.52500000000001</v>
      </c>
      <c r="P85" s="78" t="s">
        <v>186</v>
      </c>
      <c r="Q85" s="75" t="s">
        <v>305</v>
      </c>
      <c r="R85" s="3"/>
      <c r="S85" s="3"/>
      <c r="T85" s="3"/>
      <c r="U85" s="42">
        <f t="shared" ref="U85:U87" si="50">SUM(J85*L85)</f>
        <v>8.0250000000000004</v>
      </c>
      <c r="V85" s="42">
        <f t="shared" ref="V85:V87" si="51">SUM(J85*O85)</f>
        <v>8.4262500000000014</v>
      </c>
      <c r="W85" s="3"/>
      <c r="X85" s="3"/>
      <c r="Y85" s="3"/>
      <c r="Z85" s="3"/>
      <c r="AA85" s="3"/>
      <c r="AB85" s="3"/>
      <c r="AC85" s="3"/>
      <c r="AD85" s="3"/>
      <c r="AE85" s="3"/>
      <c r="AF85" s="3"/>
    </row>
    <row r="86" spans="1:32" customFormat="1" ht="41.4" x14ac:dyDescent="0.25">
      <c r="A86" s="16" t="s">
        <v>302</v>
      </c>
      <c r="B86" s="40" t="s">
        <v>194</v>
      </c>
      <c r="C86" s="19"/>
      <c r="D86" s="17"/>
      <c r="E86" s="17"/>
      <c r="F86" s="17"/>
      <c r="G86" s="17"/>
      <c r="H86" s="78" t="s">
        <v>197</v>
      </c>
      <c r="I86" s="78" t="s">
        <v>185</v>
      </c>
      <c r="J86" s="78">
        <v>0.1</v>
      </c>
      <c r="K86" s="78" t="s">
        <v>198</v>
      </c>
      <c r="L86" s="79">
        <v>183.2</v>
      </c>
      <c r="M86" s="78">
        <v>5</v>
      </c>
      <c r="N86" s="80">
        <f t="shared" si="48"/>
        <v>9.1599999999999966</v>
      </c>
      <c r="O86" s="79">
        <f t="shared" si="49"/>
        <v>192.35999999999999</v>
      </c>
      <c r="P86" s="78" t="s">
        <v>186</v>
      </c>
      <c r="Q86" s="75" t="s">
        <v>306</v>
      </c>
      <c r="R86" s="3"/>
      <c r="S86" s="3"/>
      <c r="T86" s="3"/>
      <c r="U86" s="42">
        <f t="shared" si="50"/>
        <v>18.32</v>
      </c>
      <c r="V86" s="42">
        <f t="shared" si="51"/>
        <v>19.236000000000001</v>
      </c>
      <c r="W86" s="3"/>
      <c r="X86" s="3"/>
      <c r="Y86" s="3"/>
      <c r="Z86" s="3"/>
      <c r="AA86" s="3"/>
      <c r="AB86" s="3"/>
      <c r="AC86" s="3"/>
      <c r="AD86" s="3"/>
      <c r="AE86" s="3"/>
      <c r="AF86" s="3"/>
    </row>
    <row r="87" spans="1:32" customFormat="1" ht="41.4" x14ac:dyDescent="0.25">
      <c r="A87" s="16" t="s">
        <v>303</v>
      </c>
      <c r="B87" s="40" t="s">
        <v>195</v>
      </c>
      <c r="C87" s="19"/>
      <c r="D87" s="17"/>
      <c r="E87" s="17"/>
      <c r="F87" s="17"/>
      <c r="G87" s="17"/>
      <c r="H87" s="78" t="s">
        <v>197</v>
      </c>
      <c r="I87" s="78" t="s">
        <v>185</v>
      </c>
      <c r="J87" s="78">
        <v>0.1</v>
      </c>
      <c r="K87" s="78" t="s">
        <v>198</v>
      </c>
      <c r="L87" s="79">
        <v>183.2</v>
      </c>
      <c r="M87" s="78">
        <v>5</v>
      </c>
      <c r="N87" s="80">
        <f t="shared" si="48"/>
        <v>9.1599999999999966</v>
      </c>
      <c r="O87" s="79">
        <f t="shared" si="49"/>
        <v>192.35999999999999</v>
      </c>
      <c r="P87" s="78" t="s">
        <v>186</v>
      </c>
      <c r="Q87" s="75" t="s">
        <v>307</v>
      </c>
      <c r="R87" s="3"/>
      <c r="S87" s="3"/>
      <c r="T87" s="3"/>
      <c r="U87" s="42">
        <f t="shared" si="50"/>
        <v>18.32</v>
      </c>
      <c r="V87" s="42">
        <f t="shared" si="51"/>
        <v>19.236000000000001</v>
      </c>
      <c r="W87" s="3"/>
      <c r="X87" s="3"/>
      <c r="Y87" s="3"/>
      <c r="Z87" s="3"/>
      <c r="AA87" s="3"/>
      <c r="AB87" s="3"/>
      <c r="AC87" s="3"/>
      <c r="AD87" s="3"/>
      <c r="AE87" s="3"/>
      <c r="AF87" s="3"/>
    </row>
    <row r="88" spans="1:32" customFormat="1" ht="13.8" x14ac:dyDescent="0.25">
      <c r="A88" s="16"/>
      <c r="B88" s="40"/>
      <c r="C88" s="45"/>
      <c r="D88" s="46"/>
      <c r="E88" s="46"/>
      <c r="F88" s="46"/>
      <c r="G88" s="46"/>
      <c r="H88" s="17"/>
      <c r="I88" s="17"/>
      <c r="J88" s="17"/>
      <c r="K88" s="17"/>
      <c r="L88" s="17"/>
      <c r="M88" s="17"/>
      <c r="N88" s="17"/>
      <c r="O88" s="17"/>
      <c r="P88" s="17"/>
      <c r="Q88" s="17"/>
      <c r="R88" s="3"/>
      <c r="S88" s="3"/>
      <c r="T88" s="53" t="s">
        <v>596</v>
      </c>
      <c r="U88" s="42">
        <f>SUM(U84:U87)</f>
        <v>452.66499999999996</v>
      </c>
      <c r="V88" s="42">
        <f>SUM(V84:V87)</f>
        <v>475.29825</v>
      </c>
      <c r="W88" s="3"/>
      <c r="X88" s="3"/>
      <c r="Y88" s="3"/>
      <c r="Z88" s="3"/>
      <c r="AA88" s="3"/>
      <c r="AB88" s="3"/>
      <c r="AC88" s="3"/>
      <c r="AD88" s="3"/>
      <c r="AE88" s="3"/>
      <c r="AF88" s="3"/>
    </row>
    <row r="89" spans="1:32" customFormat="1" ht="46.2" customHeight="1" x14ac:dyDescent="0.25">
      <c r="A89" s="15" t="s">
        <v>45</v>
      </c>
      <c r="B89" s="25" t="s">
        <v>82</v>
      </c>
      <c r="C89" s="27">
        <v>1300</v>
      </c>
      <c r="D89" s="18">
        <f>SUM(E89/C89)</f>
        <v>6.5590026206017768E-2</v>
      </c>
      <c r="E89" s="37">
        <f>SUM(U94)+(W223*C89)+(W233*C89)</f>
        <v>85.26703406782309</v>
      </c>
      <c r="F89" s="56" t="s">
        <v>593</v>
      </c>
      <c r="G89" s="37">
        <f>SUM(V94)+(X223*C89)+(X233*C89)</f>
        <v>91.620862808251289</v>
      </c>
      <c r="H89" s="17"/>
      <c r="I89" s="17"/>
      <c r="J89" s="17"/>
      <c r="K89" s="17"/>
      <c r="L89" s="17"/>
      <c r="M89" s="17"/>
      <c r="N89" s="17"/>
      <c r="O89" s="17"/>
      <c r="P89" s="17"/>
      <c r="Q89" s="17"/>
      <c r="R89" s="3"/>
      <c r="S89" s="3"/>
      <c r="T89" s="3"/>
      <c r="U89" s="3"/>
      <c r="V89" s="3"/>
      <c r="W89" s="3"/>
      <c r="X89" s="3"/>
      <c r="Y89" s="3"/>
      <c r="Z89" s="3"/>
      <c r="AA89" s="3"/>
      <c r="AB89" s="3"/>
      <c r="AC89" s="3"/>
      <c r="AD89" s="3"/>
      <c r="AE89" s="3"/>
      <c r="AF89" s="3"/>
    </row>
    <row r="90" spans="1:32" customFormat="1" ht="62.4" customHeight="1" x14ac:dyDescent="0.25">
      <c r="A90" s="16" t="s">
        <v>46</v>
      </c>
      <c r="B90" s="58" t="s">
        <v>531</v>
      </c>
      <c r="C90" s="19"/>
      <c r="D90" s="17"/>
      <c r="E90" s="17"/>
      <c r="F90" s="17"/>
      <c r="G90" s="17"/>
      <c r="H90" s="78" t="s">
        <v>531</v>
      </c>
      <c r="I90" s="78" t="s">
        <v>185</v>
      </c>
      <c r="J90" s="78">
        <v>1</v>
      </c>
      <c r="K90" s="78" t="s">
        <v>313</v>
      </c>
      <c r="L90" s="79">
        <v>24</v>
      </c>
      <c r="M90" s="81">
        <v>5</v>
      </c>
      <c r="N90" s="79">
        <f>SUM(O90-L90)</f>
        <v>1.2000000000000028</v>
      </c>
      <c r="O90" s="79">
        <f>SUM(L90*1.05)</f>
        <v>25.200000000000003</v>
      </c>
      <c r="P90" s="78" t="s">
        <v>237</v>
      </c>
      <c r="Q90" s="75" t="s">
        <v>309</v>
      </c>
      <c r="R90" s="41">
        <f>SUM(4*845)</f>
        <v>3380</v>
      </c>
      <c r="S90" s="41">
        <f>SUM(R90)</f>
        <v>3380</v>
      </c>
      <c r="T90" s="49">
        <f>SUM(((120/90)/4)*2)</f>
        <v>0.66666666666666663</v>
      </c>
      <c r="U90" s="42">
        <f>SUM(J90*L90)</f>
        <v>24</v>
      </c>
      <c r="V90" s="42">
        <f>SUM(J90*O90)</f>
        <v>25.200000000000003</v>
      </c>
      <c r="W90" s="3"/>
      <c r="X90" s="3"/>
      <c r="Y90" s="3"/>
      <c r="Z90" s="3"/>
      <c r="AA90" s="3"/>
      <c r="AB90" s="3"/>
      <c r="AC90" s="3"/>
      <c r="AD90" s="3"/>
      <c r="AE90" s="3"/>
      <c r="AF90" s="3"/>
    </row>
    <row r="91" spans="1:32" customFormat="1" ht="62.4" customHeight="1" x14ac:dyDescent="0.25">
      <c r="A91" s="16" t="s">
        <v>310</v>
      </c>
      <c r="B91" s="40" t="s">
        <v>193</v>
      </c>
      <c r="C91" s="19"/>
      <c r="D91" s="17"/>
      <c r="E91" s="17"/>
      <c r="F91" s="17"/>
      <c r="G91" s="17"/>
      <c r="H91" s="78" t="s">
        <v>196</v>
      </c>
      <c r="I91" s="78" t="s">
        <v>185</v>
      </c>
      <c r="J91" s="78">
        <v>0.05</v>
      </c>
      <c r="K91" s="78" t="s">
        <v>198</v>
      </c>
      <c r="L91" s="79">
        <v>160.5</v>
      </c>
      <c r="M91" s="78">
        <v>5</v>
      </c>
      <c r="N91" s="80">
        <f t="shared" ref="N91:N93" si="52">SUM(O91-L91)</f>
        <v>8.0250000000000057</v>
      </c>
      <c r="O91" s="79">
        <f t="shared" ref="O91:O93" si="53">SUM(L91*1.05)</f>
        <v>168.52500000000001</v>
      </c>
      <c r="P91" s="78" t="s">
        <v>186</v>
      </c>
      <c r="Q91" s="75" t="s">
        <v>199</v>
      </c>
      <c r="R91" s="3"/>
      <c r="S91" s="3"/>
      <c r="T91" s="3"/>
      <c r="U91" s="42">
        <f t="shared" ref="U91:U93" si="54">SUM(J91*L91)</f>
        <v>8.0250000000000004</v>
      </c>
      <c r="V91" s="42">
        <f t="shared" ref="V91:V93" si="55">SUM(J91*O91)</f>
        <v>8.4262500000000014</v>
      </c>
      <c r="W91" s="3"/>
      <c r="X91" s="3"/>
      <c r="Y91" s="3"/>
      <c r="Z91" s="3"/>
      <c r="AA91" s="3"/>
      <c r="AB91" s="3"/>
      <c r="AC91" s="3"/>
      <c r="AD91" s="3"/>
      <c r="AE91" s="3"/>
      <c r="AF91" s="3"/>
    </row>
    <row r="92" spans="1:32" customFormat="1" ht="41.4" x14ac:dyDescent="0.25">
      <c r="A92" s="16" t="s">
        <v>311</v>
      </c>
      <c r="B92" s="40" t="s">
        <v>194</v>
      </c>
      <c r="C92" s="19"/>
      <c r="D92" s="17"/>
      <c r="E92" s="17"/>
      <c r="F92" s="17"/>
      <c r="G92" s="17"/>
      <c r="H92" s="78" t="s">
        <v>197</v>
      </c>
      <c r="I92" s="78" t="s">
        <v>185</v>
      </c>
      <c r="J92" s="78">
        <v>0.1</v>
      </c>
      <c r="K92" s="78" t="s">
        <v>198</v>
      </c>
      <c r="L92" s="79">
        <v>183.2</v>
      </c>
      <c r="M92" s="78">
        <v>5</v>
      </c>
      <c r="N92" s="80">
        <f t="shared" si="52"/>
        <v>9.1599999999999966</v>
      </c>
      <c r="O92" s="79">
        <f t="shared" si="53"/>
        <v>192.35999999999999</v>
      </c>
      <c r="P92" s="78" t="s">
        <v>186</v>
      </c>
      <c r="Q92" s="75" t="s">
        <v>200</v>
      </c>
      <c r="R92" s="3"/>
      <c r="S92" s="3"/>
      <c r="T92" s="3"/>
      <c r="U92" s="42">
        <f t="shared" si="54"/>
        <v>18.32</v>
      </c>
      <c r="V92" s="42">
        <f t="shared" si="55"/>
        <v>19.236000000000001</v>
      </c>
      <c r="W92" s="3"/>
      <c r="X92" s="3"/>
      <c r="Y92" s="3"/>
      <c r="Z92" s="3"/>
      <c r="AA92" s="3"/>
      <c r="AB92" s="3"/>
      <c r="AC92" s="3"/>
      <c r="AD92" s="3"/>
      <c r="AE92" s="3"/>
      <c r="AF92" s="3"/>
    </row>
    <row r="93" spans="1:32" customFormat="1" ht="41.4" x14ac:dyDescent="0.25">
      <c r="A93" s="16" t="s">
        <v>312</v>
      </c>
      <c r="B93" s="40" t="s">
        <v>195</v>
      </c>
      <c r="C93" s="19"/>
      <c r="D93" s="17"/>
      <c r="E93" s="17"/>
      <c r="F93" s="17"/>
      <c r="G93" s="17"/>
      <c r="H93" s="78" t="s">
        <v>197</v>
      </c>
      <c r="I93" s="78" t="s">
        <v>185</v>
      </c>
      <c r="J93" s="78">
        <v>0.1</v>
      </c>
      <c r="K93" s="78" t="s">
        <v>198</v>
      </c>
      <c r="L93" s="79">
        <v>183.2</v>
      </c>
      <c r="M93" s="78">
        <v>5</v>
      </c>
      <c r="N93" s="80">
        <f t="shared" si="52"/>
        <v>9.1599999999999966</v>
      </c>
      <c r="O93" s="79">
        <f t="shared" si="53"/>
        <v>192.35999999999999</v>
      </c>
      <c r="P93" s="78" t="s">
        <v>186</v>
      </c>
      <c r="Q93" s="75" t="s">
        <v>201</v>
      </c>
      <c r="R93" s="3"/>
      <c r="S93" s="3"/>
      <c r="T93" s="3"/>
      <c r="U93" s="42">
        <f t="shared" si="54"/>
        <v>18.32</v>
      </c>
      <c r="V93" s="42">
        <f t="shared" si="55"/>
        <v>19.236000000000001</v>
      </c>
      <c r="W93" s="3"/>
      <c r="X93" s="3"/>
      <c r="Y93" s="3"/>
      <c r="Z93" s="3"/>
      <c r="AA93" s="3"/>
      <c r="AB93" s="3"/>
      <c r="AC93" s="3"/>
      <c r="AD93" s="3"/>
      <c r="AE93" s="3"/>
      <c r="AF93" s="3"/>
    </row>
    <row r="94" spans="1:32" customFormat="1" ht="13.8" x14ac:dyDescent="0.25">
      <c r="A94" s="16"/>
      <c r="B94" s="40"/>
      <c r="C94" s="45"/>
      <c r="D94" s="46"/>
      <c r="E94" s="46"/>
      <c r="F94" s="46"/>
      <c r="G94" s="46"/>
      <c r="H94" s="17"/>
      <c r="I94" s="17"/>
      <c r="J94" s="17"/>
      <c r="K94" s="17"/>
      <c r="L94" s="17"/>
      <c r="M94" s="17"/>
      <c r="N94" s="17"/>
      <c r="O94" s="17"/>
      <c r="P94" s="17"/>
      <c r="Q94" s="17"/>
      <c r="R94" s="3"/>
      <c r="S94" s="3"/>
      <c r="T94" s="53" t="s">
        <v>596</v>
      </c>
      <c r="U94" s="42">
        <f>SUM(U90:U93)</f>
        <v>68.664999999999992</v>
      </c>
      <c r="V94" s="42">
        <f>SUM(V90:V93)</f>
        <v>72.098250000000007</v>
      </c>
      <c r="W94" s="3"/>
      <c r="X94" s="3"/>
      <c r="Y94" s="3"/>
      <c r="Z94" s="3"/>
      <c r="AA94" s="3"/>
      <c r="AB94" s="3"/>
      <c r="AC94" s="3"/>
      <c r="AD94" s="3"/>
      <c r="AE94" s="3"/>
      <c r="AF94" s="3"/>
    </row>
    <row r="95" spans="1:32" customFormat="1" ht="46.2" customHeight="1" x14ac:dyDescent="0.25">
      <c r="A95" s="15" t="s">
        <v>47</v>
      </c>
      <c r="B95" s="25" t="s">
        <v>83</v>
      </c>
      <c r="C95" s="27">
        <v>2000</v>
      </c>
      <c r="D95" s="18">
        <f>SUM(E95/C95)</f>
        <v>6.810329543678699E-2</v>
      </c>
      <c r="E95" s="37">
        <f>SUM(U100)+(W223*C95)+(W233*C95)</f>
        <v>136.20659087357399</v>
      </c>
      <c r="F95" s="56" t="s">
        <v>593</v>
      </c>
      <c r="G95" s="37">
        <f>SUM(V100)+(X223*C95)+(X233*C95)</f>
        <v>146.23303893577122</v>
      </c>
      <c r="H95" s="17"/>
      <c r="I95" s="17"/>
      <c r="J95" s="17"/>
      <c r="K95" s="17"/>
      <c r="L95" s="17"/>
      <c r="M95" s="17"/>
      <c r="N95" s="17"/>
      <c r="O95" s="17"/>
      <c r="P95" s="17"/>
      <c r="Q95" s="17"/>
      <c r="R95" s="3"/>
      <c r="S95" s="3"/>
      <c r="T95" s="3"/>
      <c r="U95" s="3"/>
      <c r="V95" s="3"/>
      <c r="W95" s="3"/>
      <c r="X95" s="3"/>
      <c r="Y95" s="3"/>
      <c r="Z95" s="3"/>
      <c r="AA95" s="3"/>
      <c r="AB95" s="3"/>
      <c r="AC95" s="3"/>
      <c r="AD95" s="3"/>
      <c r="AE95" s="3"/>
      <c r="AF95" s="3"/>
    </row>
    <row r="96" spans="1:32" customFormat="1" ht="63" customHeight="1" x14ac:dyDescent="0.25">
      <c r="A96" s="16" t="s">
        <v>48</v>
      </c>
      <c r="B96" s="59" t="s">
        <v>532</v>
      </c>
      <c r="C96" s="19"/>
      <c r="D96" s="17"/>
      <c r="E96" s="17"/>
      <c r="F96" s="17"/>
      <c r="G96" s="17"/>
      <c r="H96" s="75" t="s">
        <v>532</v>
      </c>
      <c r="I96" s="78" t="s">
        <v>185</v>
      </c>
      <c r="J96" s="78">
        <v>2</v>
      </c>
      <c r="K96" s="78" t="s">
        <v>308</v>
      </c>
      <c r="L96" s="79">
        <v>33</v>
      </c>
      <c r="M96" s="78">
        <v>5</v>
      </c>
      <c r="N96" s="78">
        <f>SUM(O96-L96)</f>
        <v>1.6499999999999986</v>
      </c>
      <c r="O96" s="78">
        <f>SUM(L96*1.05)</f>
        <v>34.65</v>
      </c>
      <c r="P96" s="78" t="s">
        <v>186</v>
      </c>
      <c r="Q96" s="75" t="s">
        <v>316</v>
      </c>
      <c r="R96" s="41">
        <f>SUM(4*750)</f>
        <v>3000</v>
      </c>
      <c r="S96" s="41">
        <f>SUM(2000+480)</f>
        <v>2480</v>
      </c>
      <c r="T96" s="68">
        <f>SUM(((120/30)/4)*2)</f>
        <v>2</v>
      </c>
      <c r="U96" s="42">
        <f>SUM(J96*L96)</f>
        <v>66</v>
      </c>
      <c r="V96" s="42">
        <f>SUM(J96*O96)</f>
        <v>69.3</v>
      </c>
      <c r="W96" s="3"/>
      <c r="X96" s="3"/>
      <c r="Y96" s="3"/>
      <c r="Z96" s="3"/>
      <c r="AA96" s="3"/>
      <c r="AB96" s="3"/>
      <c r="AC96" s="3"/>
      <c r="AD96" s="3"/>
      <c r="AE96" s="3"/>
      <c r="AF96" s="3"/>
    </row>
    <row r="97" spans="1:32" customFormat="1" ht="41.4" x14ac:dyDescent="0.25">
      <c r="A97" s="16" t="s">
        <v>317</v>
      </c>
      <c r="B97" s="40" t="s">
        <v>193</v>
      </c>
      <c r="C97" s="19"/>
      <c r="D97" s="17"/>
      <c r="E97" s="17"/>
      <c r="F97" s="17"/>
      <c r="G97" s="17"/>
      <c r="H97" s="78" t="s">
        <v>196</v>
      </c>
      <c r="I97" s="78" t="s">
        <v>185</v>
      </c>
      <c r="J97" s="78">
        <v>0.05</v>
      </c>
      <c r="K97" s="78" t="s">
        <v>198</v>
      </c>
      <c r="L97" s="79">
        <v>160.5</v>
      </c>
      <c r="M97" s="78">
        <v>5</v>
      </c>
      <c r="N97" s="80">
        <f t="shared" ref="N97:N99" si="56">SUM(O97-L97)</f>
        <v>8.0250000000000057</v>
      </c>
      <c r="O97" s="79">
        <f t="shared" ref="O97:O99" si="57">SUM(L97*1.05)</f>
        <v>168.52500000000001</v>
      </c>
      <c r="P97" s="78" t="s">
        <v>186</v>
      </c>
      <c r="Q97" s="75" t="s">
        <v>234</v>
      </c>
      <c r="R97" s="3"/>
      <c r="S97" s="3"/>
      <c r="T97" s="3"/>
      <c r="U97" s="42">
        <f t="shared" ref="U97:U99" si="58">SUM(J97*L97)</f>
        <v>8.0250000000000004</v>
      </c>
      <c r="V97" s="42">
        <f t="shared" ref="V97:V99" si="59">SUM(J97*O97)</f>
        <v>8.4262500000000014</v>
      </c>
      <c r="W97" s="3"/>
      <c r="X97" s="3"/>
      <c r="Y97" s="3"/>
      <c r="Z97" s="3"/>
      <c r="AA97" s="3"/>
      <c r="AB97" s="3"/>
      <c r="AC97" s="3"/>
      <c r="AD97" s="3"/>
      <c r="AE97" s="3"/>
      <c r="AF97" s="3"/>
    </row>
    <row r="98" spans="1:32" customFormat="1" ht="41.4" x14ac:dyDescent="0.25">
      <c r="A98" s="16" t="s">
        <v>318</v>
      </c>
      <c r="B98" s="40" t="s">
        <v>194</v>
      </c>
      <c r="C98" s="19"/>
      <c r="D98" s="17"/>
      <c r="E98" s="17"/>
      <c r="F98" s="17"/>
      <c r="G98" s="17"/>
      <c r="H98" s="78" t="s">
        <v>197</v>
      </c>
      <c r="I98" s="78" t="s">
        <v>185</v>
      </c>
      <c r="J98" s="78">
        <v>0.1</v>
      </c>
      <c r="K98" s="78" t="s">
        <v>198</v>
      </c>
      <c r="L98" s="79">
        <v>183.2</v>
      </c>
      <c r="M98" s="78">
        <v>5</v>
      </c>
      <c r="N98" s="80">
        <f t="shared" si="56"/>
        <v>9.1599999999999966</v>
      </c>
      <c r="O98" s="79">
        <f t="shared" si="57"/>
        <v>192.35999999999999</v>
      </c>
      <c r="P98" s="78" t="s">
        <v>186</v>
      </c>
      <c r="Q98" s="75" t="s">
        <v>235</v>
      </c>
      <c r="R98" s="3"/>
      <c r="S98" s="3"/>
      <c r="T98" s="3"/>
      <c r="U98" s="42">
        <f t="shared" si="58"/>
        <v>18.32</v>
      </c>
      <c r="V98" s="42">
        <f t="shared" si="59"/>
        <v>19.236000000000001</v>
      </c>
      <c r="W98" s="3"/>
      <c r="X98" s="3"/>
      <c r="Y98" s="3"/>
      <c r="Z98" s="3"/>
      <c r="AA98" s="3"/>
      <c r="AB98" s="3"/>
      <c r="AC98" s="3"/>
      <c r="AD98" s="3"/>
      <c r="AE98" s="3"/>
      <c r="AF98" s="3"/>
    </row>
    <row r="99" spans="1:32" customFormat="1" ht="41.4" x14ac:dyDescent="0.25">
      <c r="A99" s="16" t="s">
        <v>319</v>
      </c>
      <c r="B99" s="40" t="s">
        <v>195</v>
      </c>
      <c r="C99" s="19"/>
      <c r="D99" s="17"/>
      <c r="E99" s="17"/>
      <c r="F99" s="17"/>
      <c r="G99" s="17"/>
      <c r="H99" s="78" t="s">
        <v>197</v>
      </c>
      <c r="I99" s="78" t="s">
        <v>185</v>
      </c>
      <c r="J99" s="78">
        <v>0.1</v>
      </c>
      <c r="K99" s="78" t="s">
        <v>198</v>
      </c>
      <c r="L99" s="79">
        <v>183.2</v>
      </c>
      <c r="M99" s="78">
        <v>5</v>
      </c>
      <c r="N99" s="80">
        <f t="shared" si="56"/>
        <v>9.1599999999999966</v>
      </c>
      <c r="O99" s="79">
        <f t="shared" si="57"/>
        <v>192.35999999999999</v>
      </c>
      <c r="P99" s="78" t="s">
        <v>186</v>
      </c>
      <c r="Q99" s="75" t="s">
        <v>236</v>
      </c>
      <c r="R99" s="3"/>
      <c r="S99" s="3"/>
      <c r="T99" s="3"/>
      <c r="U99" s="42">
        <f t="shared" si="58"/>
        <v>18.32</v>
      </c>
      <c r="V99" s="42">
        <f t="shared" si="59"/>
        <v>19.236000000000001</v>
      </c>
      <c r="W99" s="3"/>
      <c r="X99" s="3"/>
      <c r="Y99" s="3"/>
      <c r="Z99" s="3"/>
      <c r="AA99" s="3"/>
      <c r="AB99" s="3"/>
      <c r="AC99" s="3"/>
      <c r="AD99" s="3"/>
      <c r="AE99" s="3"/>
      <c r="AF99" s="3"/>
    </row>
    <row r="100" spans="1:32" customFormat="1" ht="13.8" x14ac:dyDescent="0.25">
      <c r="A100" s="16"/>
      <c r="B100" s="26"/>
      <c r="C100" s="45"/>
      <c r="D100" s="46"/>
      <c r="E100" s="46"/>
      <c r="F100" s="46"/>
      <c r="G100" s="46"/>
      <c r="H100" s="17"/>
      <c r="I100" s="17"/>
      <c r="J100" s="17"/>
      <c r="K100" s="17"/>
      <c r="L100" s="17"/>
      <c r="M100" s="17"/>
      <c r="N100" s="17"/>
      <c r="O100" s="17"/>
      <c r="P100" s="17"/>
      <c r="Q100" s="17"/>
      <c r="R100" s="3"/>
      <c r="S100" s="3"/>
      <c r="T100" s="53" t="s">
        <v>596</v>
      </c>
      <c r="U100" s="44">
        <f>SUM(U96:U99)</f>
        <v>110.66499999999999</v>
      </c>
      <c r="V100" s="44">
        <f>SUM(V96:V99)</f>
        <v>116.19825</v>
      </c>
      <c r="W100" s="3"/>
      <c r="X100" s="3"/>
      <c r="Y100" s="3"/>
      <c r="Z100" s="3"/>
      <c r="AA100" s="3"/>
      <c r="AB100" s="3"/>
      <c r="AC100" s="3"/>
      <c r="AD100" s="3"/>
      <c r="AE100" s="3"/>
      <c r="AF100" s="3"/>
    </row>
    <row r="101" spans="1:32" customFormat="1" ht="46.2" customHeight="1" x14ac:dyDescent="0.25">
      <c r="A101" s="15" t="s">
        <v>86</v>
      </c>
      <c r="B101" s="25" t="s">
        <v>84</v>
      </c>
      <c r="C101" s="27">
        <v>400</v>
      </c>
      <c r="D101" s="18">
        <f>SUM(E101/C101)</f>
        <v>10.899020795436787</v>
      </c>
      <c r="E101" s="37">
        <f>SUM(U107)+(W223*C101)+(W233*C101)</f>
        <v>4359.6083181747144</v>
      </c>
      <c r="F101" s="56" t="s">
        <v>593</v>
      </c>
      <c r="G101" s="37">
        <f>SUM(V107)+(X223*C101)+(X233*C101)</f>
        <v>4578.231957787154</v>
      </c>
      <c r="H101" s="17"/>
      <c r="I101" s="17"/>
      <c r="J101" s="17"/>
      <c r="K101" s="17"/>
      <c r="L101" s="17"/>
      <c r="M101" s="17"/>
      <c r="N101" s="17"/>
      <c r="O101" s="17"/>
      <c r="P101" s="17"/>
      <c r="Q101" s="17"/>
      <c r="R101" s="3"/>
      <c r="S101" s="3"/>
      <c r="T101" s="3"/>
      <c r="U101" s="3"/>
      <c r="V101" s="3"/>
      <c r="W101" s="3"/>
      <c r="X101" s="3"/>
      <c r="Y101" s="3"/>
      <c r="Z101" s="3"/>
      <c r="AA101" s="3"/>
      <c r="AB101" s="3"/>
      <c r="AC101" s="3"/>
      <c r="AD101" s="3"/>
      <c r="AE101" s="3"/>
      <c r="AF101" s="3"/>
    </row>
    <row r="102" spans="1:32" customFormat="1" ht="62.4" customHeight="1" x14ac:dyDescent="0.25">
      <c r="A102" s="16" t="s">
        <v>87</v>
      </c>
      <c r="B102" s="59" t="s">
        <v>320</v>
      </c>
      <c r="C102" s="19"/>
      <c r="D102" s="17"/>
      <c r="E102" s="17"/>
      <c r="F102" s="17"/>
      <c r="G102" s="17"/>
      <c r="H102" s="75" t="s">
        <v>320</v>
      </c>
      <c r="I102" s="78" t="s">
        <v>185</v>
      </c>
      <c r="J102" s="78">
        <v>2</v>
      </c>
      <c r="K102" s="78" t="s">
        <v>321</v>
      </c>
      <c r="L102" s="79">
        <v>1611</v>
      </c>
      <c r="M102" s="78">
        <v>5</v>
      </c>
      <c r="N102" s="78">
        <f>SUM(O102-L102)</f>
        <v>80.550000000000182</v>
      </c>
      <c r="O102" s="78">
        <f>SUM(L102*1.05)</f>
        <v>1691.5500000000002</v>
      </c>
      <c r="P102" s="78" t="s">
        <v>237</v>
      </c>
      <c r="Q102" s="75" t="s">
        <v>325</v>
      </c>
      <c r="R102" s="41">
        <f>SUM(4*150)</f>
        <v>600</v>
      </c>
      <c r="S102" s="41">
        <f>SUM(400+720)</f>
        <v>1120</v>
      </c>
      <c r="T102" s="42">
        <f>SUM(S102/R102)</f>
        <v>1.8666666666666667</v>
      </c>
      <c r="U102" s="42">
        <f>SUM(J102*L102)</f>
        <v>3222</v>
      </c>
      <c r="V102" s="42">
        <f>SUM(J102*O102)</f>
        <v>3383.1000000000004</v>
      </c>
      <c r="W102" s="3"/>
      <c r="X102" s="3"/>
      <c r="Y102" s="3"/>
      <c r="Z102" s="3"/>
      <c r="AA102" s="3"/>
      <c r="AB102" s="3"/>
      <c r="AC102" s="3"/>
      <c r="AD102" s="3"/>
      <c r="AE102" s="3"/>
      <c r="AF102" s="3"/>
    </row>
    <row r="103" spans="1:32" customFormat="1" ht="62.4" customHeight="1" x14ac:dyDescent="0.25">
      <c r="A103" s="16" t="s">
        <v>322</v>
      </c>
      <c r="B103" s="59" t="s">
        <v>326</v>
      </c>
      <c r="C103" s="19"/>
      <c r="D103" s="17"/>
      <c r="E103" s="17"/>
      <c r="F103" s="17"/>
      <c r="G103" s="17"/>
      <c r="H103" s="75" t="s">
        <v>326</v>
      </c>
      <c r="I103" s="78" t="s">
        <v>185</v>
      </c>
      <c r="J103" s="78">
        <v>4</v>
      </c>
      <c r="K103" s="78" t="s">
        <v>335</v>
      </c>
      <c r="L103" s="79">
        <v>234</v>
      </c>
      <c r="M103" s="78">
        <v>5</v>
      </c>
      <c r="N103" s="78">
        <f t="shared" ref="N103:N106" si="60">SUM(O103-L103)</f>
        <v>11.700000000000017</v>
      </c>
      <c r="O103" s="79">
        <f>SUM(L103*1.05)</f>
        <v>245.70000000000002</v>
      </c>
      <c r="P103" s="78" t="s">
        <v>186</v>
      </c>
      <c r="Q103" s="75" t="s">
        <v>346</v>
      </c>
      <c r="R103" s="50"/>
      <c r="S103" s="50"/>
      <c r="T103" s="47"/>
      <c r="U103" s="42">
        <f t="shared" ref="U103:U106" si="61">SUM(J103*L103)</f>
        <v>936</v>
      </c>
      <c r="V103" s="42">
        <f t="shared" ref="V103:V106" si="62">SUM(J103*O103)</f>
        <v>982.80000000000007</v>
      </c>
      <c r="W103" s="3"/>
      <c r="X103" s="3"/>
      <c r="Y103" s="3"/>
      <c r="Z103" s="3"/>
      <c r="AA103" s="3"/>
      <c r="AB103" s="3"/>
      <c r="AC103" s="3"/>
      <c r="AD103" s="3"/>
      <c r="AE103" s="3"/>
      <c r="AF103" s="3"/>
    </row>
    <row r="104" spans="1:32" customFormat="1" ht="62.4" customHeight="1" x14ac:dyDescent="0.25">
      <c r="A104" s="16" t="s">
        <v>323</v>
      </c>
      <c r="B104" s="59" t="s">
        <v>328</v>
      </c>
      <c r="C104" s="19"/>
      <c r="D104" s="17"/>
      <c r="E104" s="17"/>
      <c r="F104" s="17"/>
      <c r="G104" s="17"/>
      <c r="H104" s="75" t="s">
        <v>328</v>
      </c>
      <c r="I104" s="78" t="s">
        <v>185</v>
      </c>
      <c r="J104" s="78">
        <v>0.25</v>
      </c>
      <c r="K104" s="78" t="s">
        <v>334</v>
      </c>
      <c r="L104" s="79">
        <v>262</v>
      </c>
      <c r="M104" s="78">
        <v>5</v>
      </c>
      <c r="N104" s="78">
        <f t="shared" si="60"/>
        <v>13.100000000000023</v>
      </c>
      <c r="O104" s="79">
        <f t="shared" ref="O104:O106" si="63">SUM(L104*1.05)</f>
        <v>275.10000000000002</v>
      </c>
      <c r="P104" s="78" t="s">
        <v>186</v>
      </c>
      <c r="Q104" s="75" t="s">
        <v>331</v>
      </c>
      <c r="R104" s="50"/>
      <c r="S104" s="50"/>
      <c r="T104" s="47"/>
      <c r="U104" s="42">
        <f t="shared" si="61"/>
        <v>65.5</v>
      </c>
      <c r="V104" s="42">
        <f t="shared" si="62"/>
        <v>68.775000000000006</v>
      </c>
      <c r="W104" s="3"/>
      <c r="X104" s="3"/>
      <c r="Y104" s="3"/>
      <c r="Z104" s="3"/>
      <c r="AA104" s="3"/>
      <c r="AB104" s="3"/>
      <c r="AC104" s="3"/>
      <c r="AD104" s="3"/>
      <c r="AE104" s="3"/>
      <c r="AF104" s="3"/>
    </row>
    <row r="105" spans="1:32" customFormat="1" ht="62.4" customHeight="1" x14ac:dyDescent="0.25">
      <c r="A105" s="16" t="s">
        <v>324</v>
      </c>
      <c r="B105" s="59" t="s">
        <v>329</v>
      </c>
      <c r="C105" s="19"/>
      <c r="D105" s="17"/>
      <c r="E105" s="17"/>
      <c r="F105" s="17"/>
      <c r="G105" s="17"/>
      <c r="H105" s="75" t="s">
        <v>329</v>
      </c>
      <c r="I105" s="78" t="s">
        <v>185</v>
      </c>
      <c r="J105" s="78">
        <v>0.25</v>
      </c>
      <c r="K105" s="78" t="s">
        <v>334</v>
      </c>
      <c r="L105" s="79">
        <v>262</v>
      </c>
      <c r="M105" s="78">
        <v>5</v>
      </c>
      <c r="N105" s="78">
        <f t="shared" si="60"/>
        <v>13.100000000000023</v>
      </c>
      <c r="O105" s="79">
        <f t="shared" si="63"/>
        <v>275.10000000000002</v>
      </c>
      <c r="P105" s="78" t="s">
        <v>186</v>
      </c>
      <c r="Q105" s="75" t="s">
        <v>332</v>
      </c>
      <c r="R105" s="50"/>
      <c r="S105" s="50"/>
      <c r="T105" s="47"/>
      <c r="U105" s="42">
        <f t="shared" si="61"/>
        <v>65.5</v>
      </c>
      <c r="V105" s="42">
        <f t="shared" si="62"/>
        <v>68.775000000000006</v>
      </c>
      <c r="W105" s="3"/>
      <c r="X105" s="3"/>
      <c r="Y105" s="3"/>
      <c r="Z105" s="3"/>
      <c r="AA105" s="3"/>
      <c r="AB105" s="3"/>
      <c r="AC105" s="3"/>
      <c r="AD105" s="3"/>
      <c r="AE105" s="3"/>
      <c r="AF105" s="3"/>
    </row>
    <row r="106" spans="1:32" customFormat="1" ht="41.4" x14ac:dyDescent="0.25">
      <c r="A106" s="16" t="s">
        <v>327</v>
      </c>
      <c r="B106" s="59" t="s">
        <v>330</v>
      </c>
      <c r="C106" s="19"/>
      <c r="D106" s="17"/>
      <c r="E106" s="17"/>
      <c r="F106" s="17"/>
      <c r="G106" s="17"/>
      <c r="H106" s="75" t="s">
        <v>330</v>
      </c>
      <c r="I106" s="78" t="s">
        <v>185</v>
      </c>
      <c r="J106" s="78">
        <v>0.25</v>
      </c>
      <c r="K106" s="78" t="s">
        <v>334</v>
      </c>
      <c r="L106" s="78">
        <v>262</v>
      </c>
      <c r="M106" s="78">
        <v>5</v>
      </c>
      <c r="N106" s="78">
        <f t="shared" si="60"/>
        <v>13.100000000000023</v>
      </c>
      <c r="O106" s="79">
        <f t="shared" si="63"/>
        <v>275.10000000000002</v>
      </c>
      <c r="P106" s="78" t="s">
        <v>186</v>
      </c>
      <c r="Q106" s="75" t="s">
        <v>333</v>
      </c>
      <c r="R106" s="3"/>
      <c r="S106" s="3"/>
      <c r="T106" s="3"/>
      <c r="U106" s="42">
        <f t="shared" si="61"/>
        <v>65.5</v>
      </c>
      <c r="V106" s="42">
        <f t="shared" si="62"/>
        <v>68.775000000000006</v>
      </c>
      <c r="W106" s="3"/>
      <c r="X106" s="3"/>
      <c r="Y106" s="3"/>
      <c r="Z106" s="3"/>
      <c r="AA106" s="3"/>
      <c r="AB106" s="3"/>
      <c r="AC106" s="3"/>
      <c r="AD106" s="3"/>
      <c r="AE106" s="3"/>
      <c r="AF106" s="3"/>
    </row>
    <row r="107" spans="1:32" customFormat="1" ht="13.8" x14ac:dyDescent="0.25">
      <c r="A107" s="16"/>
      <c r="B107" s="26"/>
      <c r="C107" s="19"/>
      <c r="D107" s="17"/>
      <c r="E107" s="17"/>
      <c r="F107" s="17"/>
      <c r="G107" s="17"/>
      <c r="H107" s="17"/>
      <c r="I107" s="17"/>
      <c r="J107" s="17"/>
      <c r="K107" s="17"/>
      <c r="L107" s="17"/>
      <c r="M107" s="17"/>
      <c r="N107" s="17"/>
      <c r="O107" s="17"/>
      <c r="P107" s="17"/>
      <c r="Q107" s="17"/>
      <c r="R107" s="3"/>
      <c r="S107" s="3"/>
      <c r="T107" s="53" t="s">
        <v>596</v>
      </c>
      <c r="U107" s="44">
        <f>SUM(U102:U106)</f>
        <v>4354.5</v>
      </c>
      <c r="V107" s="44">
        <f>SUM(V102:V106)</f>
        <v>4572.2249999999995</v>
      </c>
      <c r="W107" s="3"/>
      <c r="X107" s="3"/>
      <c r="Y107" s="3"/>
      <c r="Z107" s="3"/>
      <c r="AA107" s="3"/>
      <c r="AB107" s="3"/>
      <c r="AC107" s="3"/>
      <c r="AD107" s="3"/>
      <c r="AE107" s="3"/>
      <c r="AF107" s="3"/>
    </row>
    <row r="108" spans="1:32" customFormat="1" ht="46.2" customHeight="1" x14ac:dyDescent="0.25">
      <c r="A108" s="15" t="s">
        <v>88</v>
      </c>
      <c r="B108" s="25" t="s">
        <v>85</v>
      </c>
      <c r="C108" s="27">
        <v>250</v>
      </c>
      <c r="D108" s="18">
        <f>SUM(E108/C108)</f>
        <v>5.3739707954367866</v>
      </c>
      <c r="E108" s="37">
        <f>SUM(U114)+(W223*C108)+(W233*C108)</f>
        <v>1343.4926988591967</v>
      </c>
      <c r="F108" s="56" t="s">
        <v>593</v>
      </c>
      <c r="G108" s="37">
        <f>SUM(V114)+(X223*C108)+(X233*C108)</f>
        <v>1411.0693486169716</v>
      </c>
      <c r="H108" s="17"/>
      <c r="I108" s="17"/>
      <c r="J108" s="17"/>
      <c r="K108" s="17"/>
      <c r="L108" s="17"/>
      <c r="M108" s="17"/>
      <c r="N108" s="17"/>
      <c r="O108" s="17"/>
      <c r="P108" s="17"/>
      <c r="Q108" s="17"/>
      <c r="R108" s="3"/>
      <c r="S108" s="3"/>
      <c r="T108" s="3"/>
      <c r="U108" s="3"/>
      <c r="V108" s="3"/>
      <c r="W108" s="3"/>
      <c r="X108" s="3"/>
      <c r="Y108" s="3"/>
      <c r="Z108" s="3"/>
      <c r="AA108" s="3"/>
      <c r="AB108" s="3"/>
      <c r="AC108" s="3"/>
      <c r="AD108" s="3"/>
      <c r="AE108" s="3"/>
      <c r="AF108" s="3"/>
    </row>
    <row r="109" spans="1:32" customFormat="1" ht="63" customHeight="1" x14ac:dyDescent="0.25">
      <c r="A109" s="16" t="s">
        <v>89</v>
      </c>
      <c r="B109" s="59" t="s">
        <v>340</v>
      </c>
      <c r="C109" s="19"/>
      <c r="D109" s="17"/>
      <c r="E109" s="17"/>
      <c r="F109" s="17"/>
      <c r="G109" s="17"/>
      <c r="H109" s="75" t="s">
        <v>340</v>
      </c>
      <c r="I109" s="78" t="s">
        <v>185</v>
      </c>
      <c r="J109" s="78">
        <v>1</v>
      </c>
      <c r="K109" s="78" t="s">
        <v>341</v>
      </c>
      <c r="L109" s="78">
        <v>909.8</v>
      </c>
      <c r="M109" s="78">
        <v>5</v>
      </c>
      <c r="N109" s="78">
        <f>SUM(O109-L109)</f>
        <v>45.490000000000009</v>
      </c>
      <c r="O109" s="78">
        <f>SUM(L109*1.05)</f>
        <v>955.29</v>
      </c>
      <c r="P109" s="78" t="s">
        <v>237</v>
      </c>
      <c r="Q109" s="75" t="s">
        <v>342</v>
      </c>
      <c r="R109" s="41">
        <f>SUM(4*260)</f>
        <v>1040</v>
      </c>
      <c r="S109" s="41">
        <f>SUM(250+720)</f>
        <v>970</v>
      </c>
      <c r="T109" s="42">
        <f>SUM(S109/R109)</f>
        <v>0.93269230769230771</v>
      </c>
      <c r="U109" s="42">
        <f>SUM(J109*L109)</f>
        <v>909.8</v>
      </c>
      <c r="V109" s="42">
        <f>SUM(J109*O109)</f>
        <v>955.29</v>
      </c>
      <c r="W109" s="3"/>
      <c r="X109" s="3"/>
      <c r="Y109" s="3"/>
      <c r="Z109" s="3"/>
      <c r="AA109" s="3"/>
      <c r="AB109" s="3"/>
      <c r="AC109" s="3"/>
      <c r="AD109" s="3"/>
      <c r="AE109" s="3"/>
      <c r="AF109" s="3"/>
    </row>
    <row r="110" spans="1:32" customFormat="1" ht="63" customHeight="1" x14ac:dyDescent="0.25">
      <c r="A110" s="16" t="s">
        <v>349</v>
      </c>
      <c r="B110" s="59" t="s">
        <v>348</v>
      </c>
      <c r="C110" s="19"/>
      <c r="D110" s="17"/>
      <c r="E110" s="17"/>
      <c r="F110" s="17"/>
      <c r="G110" s="17"/>
      <c r="H110" s="75" t="s">
        <v>326</v>
      </c>
      <c r="I110" s="78" t="s">
        <v>185</v>
      </c>
      <c r="J110" s="78">
        <v>1</v>
      </c>
      <c r="K110" s="78" t="s">
        <v>335</v>
      </c>
      <c r="L110" s="79">
        <v>234</v>
      </c>
      <c r="M110" s="78">
        <v>5</v>
      </c>
      <c r="N110" s="78">
        <f t="shared" ref="N110:N113" si="64">SUM(O110-L110)</f>
        <v>11.700000000000017</v>
      </c>
      <c r="O110" s="79">
        <f>SUM(L110*1.05)</f>
        <v>245.70000000000002</v>
      </c>
      <c r="P110" s="78" t="s">
        <v>186</v>
      </c>
      <c r="Q110" s="75" t="s">
        <v>347</v>
      </c>
      <c r="R110" s="50"/>
      <c r="S110" s="50"/>
      <c r="T110" s="47"/>
      <c r="U110" s="42">
        <f t="shared" ref="U110:U113" si="65">SUM(J110*L110)</f>
        <v>234</v>
      </c>
      <c r="V110" s="42">
        <f t="shared" ref="V110:V113" si="66">SUM(J110*O110)</f>
        <v>245.70000000000002</v>
      </c>
      <c r="W110" s="3"/>
      <c r="X110" s="3"/>
      <c r="Y110" s="3"/>
      <c r="Z110" s="3"/>
      <c r="AA110" s="3"/>
      <c r="AB110" s="3"/>
      <c r="AC110" s="3"/>
      <c r="AD110" s="3"/>
      <c r="AE110" s="3"/>
      <c r="AF110" s="3"/>
    </row>
    <row r="111" spans="1:32" customFormat="1" ht="63" customHeight="1" x14ac:dyDescent="0.25">
      <c r="A111" s="16" t="s">
        <v>350</v>
      </c>
      <c r="B111" s="59" t="s">
        <v>328</v>
      </c>
      <c r="C111" s="19"/>
      <c r="D111" s="17"/>
      <c r="E111" s="17"/>
      <c r="F111" s="17"/>
      <c r="G111" s="17"/>
      <c r="H111" s="75" t="s">
        <v>328</v>
      </c>
      <c r="I111" s="78" t="s">
        <v>185</v>
      </c>
      <c r="J111" s="78">
        <v>0.25</v>
      </c>
      <c r="K111" s="78" t="s">
        <v>334</v>
      </c>
      <c r="L111" s="79">
        <v>262</v>
      </c>
      <c r="M111" s="78">
        <v>5</v>
      </c>
      <c r="N111" s="78">
        <f t="shared" si="64"/>
        <v>13.100000000000023</v>
      </c>
      <c r="O111" s="79">
        <f t="shared" ref="O111:O113" si="67">SUM(L111*1.05)</f>
        <v>275.10000000000002</v>
      </c>
      <c r="P111" s="78" t="s">
        <v>186</v>
      </c>
      <c r="Q111" s="75" t="s">
        <v>343</v>
      </c>
      <c r="R111" s="50"/>
      <c r="S111" s="50"/>
      <c r="T111" s="47"/>
      <c r="U111" s="42">
        <f t="shared" si="65"/>
        <v>65.5</v>
      </c>
      <c r="V111" s="42">
        <f t="shared" si="66"/>
        <v>68.775000000000006</v>
      </c>
      <c r="W111" s="3"/>
      <c r="X111" s="3"/>
      <c r="Y111" s="3"/>
      <c r="Z111" s="3"/>
      <c r="AA111" s="3"/>
      <c r="AB111" s="3"/>
      <c r="AC111" s="3"/>
      <c r="AD111" s="3"/>
      <c r="AE111" s="3"/>
      <c r="AF111" s="3"/>
    </row>
    <row r="112" spans="1:32" customFormat="1" ht="41.4" x14ac:dyDescent="0.25">
      <c r="A112" s="16" t="s">
        <v>351</v>
      </c>
      <c r="B112" s="59" t="s">
        <v>329</v>
      </c>
      <c r="C112" s="19"/>
      <c r="D112" s="17"/>
      <c r="E112" s="17"/>
      <c r="F112" s="17"/>
      <c r="G112" s="17"/>
      <c r="H112" s="75" t="s">
        <v>329</v>
      </c>
      <c r="I112" s="78" t="s">
        <v>185</v>
      </c>
      <c r="J112" s="78">
        <v>0.25</v>
      </c>
      <c r="K112" s="78" t="s">
        <v>334</v>
      </c>
      <c r="L112" s="79">
        <v>262</v>
      </c>
      <c r="M112" s="78">
        <v>5</v>
      </c>
      <c r="N112" s="78">
        <f t="shared" si="64"/>
        <v>13.100000000000023</v>
      </c>
      <c r="O112" s="79">
        <f t="shared" si="67"/>
        <v>275.10000000000002</v>
      </c>
      <c r="P112" s="78" t="s">
        <v>186</v>
      </c>
      <c r="Q112" s="75" t="s">
        <v>344</v>
      </c>
      <c r="R112" s="3"/>
      <c r="S112" s="3"/>
      <c r="T112" s="3"/>
      <c r="U112" s="42">
        <f t="shared" si="65"/>
        <v>65.5</v>
      </c>
      <c r="V112" s="42">
        <f t="shared" si="66"/>
        <v>68.775000000000006</v>
      </c>
      <c r="W112" s="3"/>
      <c r="X112" s="3"/>
      <c r="Y112" s="3"/>
      <c r="Z112" s="3"/>
      <c r="AA112" s="3"/>
      <c r="AB112" s="3"/>
      <c r="AC112" s="3"/>
      <c r="AD112" s="3"/>
      <c r="AE112" s="3"/>
      <c r="AF112" s="3"/>
    </row>
    <row r="113" spans="1:32" customFormat="1" ht="41.4" x14ac:dyDescent="0.25">
      <c r="A113" s="16" t="s">
        <v>352</v>
      </c>
      <c r="B113" s="59" t="s">
        <v>330</v>
      </c>
      <c r="C113" s="19"/>
      <c r="D113" s="17"/>
      <c r="E113" s="17"/>
      <c r="F113" s="17"/>
      <c r="G113" s="17"/>
      <c r="H113" s="75" t="s">
        <v>330</v>
      </c>
      <c r="I113" s="78" t="s">
        <v>185</v>
      </c>
      <c r="J113" s="78">
        <v>0.25</v>
      </c>
      <c r="K113" s="78" t="s">
        <v>334</v>
      </c>
      <c r="L113" s="79">
        <v>262</v>
      </c>
      <c r="M113" s="78">
        <v>5</v>
      </c>
      <c r="N113" s="78">
        <f t="shared" si="64"/>
        <v>13.100000000000023</v>
      </c>
      <c r="O113" s="79">
        <f t="shared" si="67"/>
        <v>275.10000000000002</v>
      </c>
      <c r="P113" s="78" t="s">
        <v>186</v>
      </c>
      <c r="Q113" s="75" t="s">
        <v>345</v>
      </c>
      <c r="R113" s="3"/>
      <c r="S113" s="3"/>
      <c r="T113" s="3"/>
      <c r="U113" s="42">
        <f t="shared" si="65"/>
        <v>65.5</v>
      </c>
      <c r="V113" s="42">
        <f t="shared" si="66"/>
        <v>68.775000000000006</v>
      </c>
      <c r="W113" s="3"/>
      <c r="X113" s="3"/>
      <c r="Y113" s="3"/>
      <c r="Z113" s="3"/>
      <c r="AA113" s="3"/>
      <c r="AB113" s="3"/>
      <c r="AC113" s="3"/>
      <c r="AD113" s="3"/>
      <c r="AE113" s="3"/>
      <c r="AF113" s="3"/>
    </row>
    <row r="114" spans="1:32" customFormat="1" ht="14.4" x14ac:dyDescent="0.25">
      <c r="A114" s="16"/>
      <c r="B114" s="54"/>
      <c r="C114" s="19"/>
      <c r="D114" s="17"/>
      <c r="E114" s="17"/>
      <c r="F114" s="17"/>
      <c r="G114" s="17"/>
      <c r="H114" s="17"/>
      <c r="I114" s="17"/>
      <c r="J114" s="17"/>
      <c r="K114" s="17"/>
      <c r="L114" s="17"/>
      <c r="M114" s="17"/>
      <c r="N114" s="17"/>
      <c r="O114" s="17"/>
      <c r="P114" s="17"/>
      <c r="Q114" s="17"/>
      <c r="R114" s="3"/>
      <c r="S114" s="3"/>
      <c r="T114" s="53" t="s">
        <v>596</v>
      </c>
      <c r="U114" s="42">
        <f>SUM(U109:U113)</f>
        <v>1340.3</v>
      </c>
      <c r="V114" s="42">
        <f>SUM(V109:V113)</f>
        <v>1407.3150000000003</v>
      </c>
      <c r="W114" s="3"/>
      <c r="X114" s="3"/>
      <c r="Y114" s="3"/>
      <c r="Z114" s="3"/>
      <c r="AA114" s="3"/>
      <c r="AB114" s="3"/>
      <c r="AC114" s="3"/>
      <c r="AD114" s="3"/>
      <c r="AE114" s="3"/>
      <c r="AF114" s="3"/>
    </row>
    <row r="115" spans="1:32" customFormat="1" ht="46.2" customHeight="1" x14ac:dyDescent="0.25">
      <c r="A115" s="15" t="s">
        <v>90</v>
      </c>
      <c r="B115" s="25" t="s">
        <v>96</v>
      </c>
      <c r="C115" s="27">
        <v>1000</v>
      </c>
      <c r="D115" s="18">
        <f>SUM(E115/C115)</f>
        <v>2.0712707954367868</v>
      </c>
      <c r="E115" s="37">
        <f>SUM(U121+(W223*C115))+(W233*C115)</f>
        <v>2071.270795436787</v>
      </c>
      <c r="F115" s="56" t="s">
        <v>593</v>
      </c>
      <c r="G115" s="83">
        <f>SUM(V121+(X223*C115)+(X233*C115))</f>
        <v>2176.4423944678856</v>
      </c>
      <c r="H115" s="17"/>
      <c r="I115" s="17"/>
      <c r="J115" s="17"/>
      <c r="K115" s="17"/>
      <c r="L115" s="17"/>
      <c r="M115" s="17"/>
      <c r="N115" s="17"/>
      <c r="O115" s="17"/>
      <c r="P115" s="17"/>
      <c r="Q115" s="17"/>
      <c r="R115" s="82"/>
      <c r="S115" s="3"/>
      <c r="T115" s="3"/>
      <c r="U115" s="3"/>
      <c r="V115" s="3"/>
      <c r="W115" s="3"/>
      <c r="X115" s="3"/>
      <c r="Y115" s="3"/>
      <c r="Z115" s="3"/>
      <c r="AA115" s="3"/>
      <c r="AB115" s="3"/>
      <c r="AC115" s="3"/>
      <c r="AD115" s="3"/>
      <c r="AE115" s="3"/>
      <c r="AF115" s="3"/>
    </row>
    <row r="116" spans="1:32" customFormat="1" ht="64.2" customHeight="1" x14ac:dyDescent="0.25">
      <c r="A116" s="16" t="s">
        <v>91</v>
      </c>
      <c r="B116" s="58" t="s">
        <v>353</v>
      </c>
      <c r="C116" s="19"/>
      <c r="D116" s="17"/>
      <c r="E116" s="17"/>
      <c r="F116" s="17"/>
      <c r="G116" s="17"/>
      <c r="H116" s="78" t="s">
        <v>353</v>
      </c>
      <c r="I116" s="78" t="s">
        <v>185</v>
      </c>
      <c r="J116" s="78">
        <v>2</v>
      </c>
      <c r="K116" s="78" t="s">
        <v>354</v>
      </c>
      <c r="L116" s="79">
        <v>814</v>
      </c>
      <c r="M116" s="78">
        <v>5</v>
      </c>
      <c r="N116" s="80">
        <f>SUM(O116-L116)</f>
        <v>40.700000000000045</v>
      </c>
      <c r="O116" s="79">
        <f>SUM(L116*1.05)</f>
        <v>854.7</v>
      </c>
      <c r="P116" s="78" t="s">
        <v>237</v>
      </c>
      <c r="Q116" s="75" t="s">
        <v>355</v>
      </c>
      <c r="R116" s="41">
        <f>SUM(4*250)</f>
        <v>1000</v>
      </c>
      <c r="S116" s="41">
        <f>SUM(C115+480)</f>
        <v>1480</v>
      </c>
      <c r="T116" s="41">
        <f>SUM(S116/R116)</f>
        <v>1.48</v>
      </c>
      <c r="U116" s="42">
        <f>SUM(J116*L116)</f>
        <v>1628</v>
      </c>
      <c r="V116" s="42">
        <f>SUM(J116*O116)</f>
        <v>1709.4</v>
      </c>
      <c r="W116" s="3"/>
      <c r="X116" s="3"/>
      <c r="Y116" s="3"/>
      <c r="Z116" s="3"/>
      <c r="AA116" s="3"/>
      <c r="AB116" s="3"/>
      <c r="AC116" s="3"/>
      <c r="AD116" s="3"/>
      <c r="AE116" s="3"/>
      <c r="AF116" s="3"/>
    </row>
    <row r="117" spans="1:32" customFormat="1" ht="64.2" customHeight="1" x14ac:dyDescent="0.25">
      <c r="A117" s="16" t="s">
        <v>356</v>
      </c>
      <c r="B117" s="51" t="s">
        <v>348</v>
      </c>
      <c r="C117" s="19"/>
      <c r="D117" s="17"/>
      <c r="E117" s="17"/>
      <c r="F117" s="17"/>
      <c r="G117" s="17"/>
      <c r="H117" s="75" t="s">
        <v>326</v>
      </c>
      <c r="I117" s="78" t="s">
        <v>185</v>
      </c>
      <c r="J117" s="78">
        <v>1</v>
      </c>
      <c r="K117" s="78" t="s">
        <v>335</v>
      </c>
      <c r="L117" s="79">
        <v>234</v>
      </c>
      <c r="M117" s="78">
        <v>5</v>
      </c>
      <c r="N117" s="78">
        <f t="shared" ref="N117:N120" si="68">SUM(O117-L117)</f>
        <v>11.700000000000017</v>
      </c>
      <c r="O117" s="79">
        <f>SUM(L117*1.05)</f>
        <v>245.70000000000002</v>
      </c>
      <c r="P117" s="78" t="s">
        <v>186</v>
      </c>
      <c r="Q117" s="75" t="s">
        <v>360</v>
      </c>
      <c r="R117" s="50"/>
      <c r="S117" s="50"/>
      <c r="T117" s="50"/>
      <c r="U117" s="42">
        <f t="shared" ref="U117:U120" si="69">SUM(J117*L117)</f>
        <v>234</v>
      </c>
      <c r="V117" s="42">
        <f t="shared" ref="V117:V120" si="70">SUM(J117*O117)</f>
        <v>245.70000000000002</v>
      </c>
      <c r="W117" s="3"/>
      <c r="X117" s="3"/>
      <c r="Y117" s="3"/>
      <c r="Z117" s="3"/>
      <c r="AA117" s="3"/>
      <c r="AB117" s="3"/>
      <c r="AC117" s="3"/>
      <c r="AD117" s="3"/>
      <c r="AE117" s="3"/>
      <c r="AF117" s="3"/>
    </row>
    <row r="118" spans="1:32" customFormat="1" ht="41.4" x14ac:dyDescent="0.25">
      <c r="A118" s="16" t="s">
        <v>357</v>
      </c>
      <c r="B118" s="51" t="s">
        <v>328</v>
      </c>
      <c r="C118" s="19"/>
      <c r="D118" s="17"/>
      <c r="E118" s="17"/>
      <c r="F118" s="17"/>
      <c r="G118" s="17"/>
      <c r="H118" s="75" t="s">
        <v>328</v>
      </c>
      <c r="I118" s="78" t="s">
        <v>185</v>
      </c>
      <c r="J118" s="78">
        <v>0.25</v>
      </c>
      <c r="K118" s="78" t="s">
        <v>334</v>
      </c>
      <c r="L118" s="79">
        <v>262</v>
      </c>
      <c r="M118" s="78">
        <v>5</v>
      </c>
      <c r="N118" s="78">
        <f t="shared" si="68"/>
        <v>13.100000000000023</v>
      </c>
      <c r="O118" s="79">
        <f t="shared" ref="O118:O120" si="71">SUM(L118*1.05)</f>
        <v>275.10000000000002</v>
      </c>
      <c r="P118" s="78" t="s">
        <v>186</v>
      </c>
      <c r="Q118" s="75" t="s">
        <v>361</v>
      </c>
      <c r="R118" s="3"/>
      <c r="S118" s="3"/>
      <c r="T118" s="3"/>
      <c r="U118" s="42">
        <f t="shared" si="69"/>
        <v>65.5</v>
      </c>
      <c r="V118" s="42">
        <f t="shared" si="70"/>
        <v>68.775000000000006</v>
      </c>
      <c r="W118" s="3"/>
      <c r="X118" s="3"/>
      <c r="Y118" s="3"/>
      <c r="Z118" s="3"/>
      <c r="AA118" s="3"/>
      <c r="AB118" s="3"/>
      <c r="AC118" s="3"/>
      <c r="AD118" s="3"/>
      <c r="AE118" s="3"/>
      <c r="AF118" s="3"/>
    </row>
    <row r="119" spans="1:32" customFormat="1" ht="41.4" x14ac:dyDescent="0.25">
      <c r="A119" s="16" t="s">
        <v>358</v>
      </c>
      <c r="B119" s="51" t="s">
        <v>329</v>
      </c>
      <c r="C119" s="19"/>
      <c r="D119" s="17"/>
      <c r="E119" s="17"/>
      <c r="F119" s="17"/>
      <c r="G119" s="17"/>
      <c r="H119" s="75" t="s">
        <v>329</v>
      </c>
      <c r="I119" s="78" t="s">
        <v>185</v>
      </c>
      <c r="J119" s="78">
        <v>0.25</v>
      </c>
      <c r="K119" s="78" t="s">
        <v>334</v>
      </c>
      <c r="L119" s="79">
        <v>262</v>
      </c>
      <c r="M119" s="78">
        <v>5</v>
      </c>
      <c r="N119" s="78">
        <f t="shared" si="68"/>
        <v>13.100000000000023</v>
      </c>
      <c r="O119" s="79">
        <f t="shared" si="71"/>
        <v>275.10000000000002</v>
      </c>
      <c r="P119" s="78" t="s">
        <v>186</v>
      </c>
      <c r="Q119" s="75" t="s">
        <v>362</v>
      </c>
      <c r="R119" s="3"/>
      <c r="S119" s="3"/>
      <c r="T119" s="3"/>
      <c r="U119" s="42">
        <f t="shared" si="69"/>
        <v>65.5</v>
      </c>
      <c r="V119" s="42">
        <f t="shared" si="70"/>
        <v>68.775000000000006</v>
      </c>
      <c r="W119" s="3"/>
      <c r="X119" s="3"/>
      <c r="Y119" s="3"/>
      <c r="Z119" s="3"/>
      <c r="AA119" s="3"/>
      <c r="AB119" s="3"/>
      <c r="AC119" s="3"/>
      <c r="AD119" s="3"/>
      <c r="AE119" s="3"/>
      <c r="AF119" s="3"/>
    </row>
    <row r="120" spans="1:32" customFormat="1" ht="41.4" x14ac:dyDescent="0.25">
      <c r="A120" s="16" t="s">
        <v>359</v>
      </c>
      <c r="B120" s="51" t="s">
        <v>330</v>
      </c>
      <c r="C120" s="19"/>
      <c r="D120" s="17"/>
      <c r="E120" s="17"/>
      <c r="F120" s="17"/>
      <c r="G120" s="17"/>
      <c r="H120" s="75" t="s">
        <v>330</v>
      </c>
      <c r="I120" s="78" t="s">
        <v>185</v>
      </c>
      <c r="J120" s="78">
        <v>0.25</v>
      </c>
      <c r="K120" s="78" t="s">
        <v>334</v>
      </c>
      <c r="L120" s="79">
        <v>262</v>
      </c>
      <c r="M120" s="78">
        <v>5</v>
      </c>
      <c r="N120" s="78">
        <f t="shared" si="68"/>
        <v>13.100000000000023</v>
      </c>
      <c r="O120" s="79">
        <f t="shared" si="71"/>
        <v>275.10000000000002</v>
      </c>
      <c r="P120" s="78" t="s">
        <v>186</v>
      </c>
      <c r="Q120" s="75" t="s">
        <v>363</v>
      </c>
      <c r="R120" s="3"/>
      <c r="S120" s="3"/>
      <c r="T120" s="3"/>
      <c r="U120" s="42">
        <f t="shared" si="69"/>
        <v>65.5</v>
      </c>
      <c r="V120" s="42">
        <f t="shared" si="70"/>
        <v>68.775000000000006</v>
      </c>
      <c r="W120" s="3"/>
      <c r="X120" s="3"/>
      <c r="Y120" s="3"/>
      <c r="Z120" s="3"/>
      <c r="AA120" s="3"/>
      <c r="AB120" s="3"/>
      <c r="AC120" s="3"/>
      <c r="AD120" s="3"/>
      <c r="AE120" s="3"/>
      <c r="AF120" s="3"/>
    </row>
    <row r="121" spans="1:32" customFormat="1" ht="14.4" x14ac:dyDescent="0.25">
      <c r="A121" s="16"/>
      <c r="B121" s="54"/>
      <c r="C121" s="19"/>
      <c r="D121" s="17"/>
      <c r="E121" s="17"/>
      <c r="F121" s="17"/>
      <c r="G121" s="17"/>
      <c r="H121" s="17"/>
      <c r="I121" s="17"/>
      <c r="J121" s="17"/>
      <c r="K121" s="17"/>
      <c r="L121" s="17"/>
      <c r="M121" s="17"/>
      <c r="N121" s="17"/>
      <c r="O121" s="17"/>
      <c r="P121" s="17"/>
      <c r="Q121" s="17"/>
      <c r="R121" s="3"/>
      <c r="S121" s="3"/>
      <c r="T121" s="53" t="s">
        <v>596</v>
      </c>
      <c r="U121" s="42">
        <f>SUM(U116:U120)</f>
        <v>2058.5</v>
      </c>
      <c r="V121" s="42">
        <f>SUM(V116:V120)</f>
        <v>2161.4250000000002</v>
      </c>
      <c r="W121" s="3"/>
      <c r="X121" s="3"/>
      <c r="Y121" s="3"/>
      <c r="Z121" s="3"/>
      <c r="AA121" s="3"/>
      <c r="AB121" s="3"/>
      <c r="AC121" s="3"/>
      <c r="AD121" s="3"/>
      <c r="AE121" s="3"/>
      <c r="AF121" s="3"/>
    </row>
    <row r="122" spans="1:32" customFormat="1" ht="46.2" customHeight="1" x14ac:dyDescent="0.25">
      <c r="A122" s="15" t="s">
        <v>92</v>
      </c>
      <c r="B122" s="25" t="s">
        <v>97</v>
      </c>
      <c r="C122" s="27">
        <v>20000</v>
      </c>
      <c r="D122" s="18">
        <f>SUM(E122/C122)</f>
        <v>0.42589579543678702</v>
      </c>
      <c r="E122" s="37">
        <f>SUM(U128)+(W223*C122)+(W233*C122)</f>
        <v>8517.9159087357402</v>
      </c>
      <c r="F122" s="56" t="s">
        <v>593</v>
      </c>
      <c r="G122" s="37">
        <f>SUM(V128+(X223*C122)+(X233*C122))</f>
        <v>8975.9728893577103</v>
      </c>
      <c r="H122" s="17"/>
      <c r="I122" s="17"/>
      <c r="J122" s="17"/>
      <c r="K122" s="17"/>
      <c r="L122" s="17"/>
      <c r="M122" s="17"/>
      <c r="N122" s="17"/>
      <c r="O122" s="17"/>
      <c r="P122" s="17"/>
      <c r="Q122" s="17"/>
      <c r="R122" s="3"/>
      <c r="S122" s="3"/>
      <c r="T122" s="3"/>
      <c r="U122" s="3"/>
      <c r="V122" s="3"/>
      <c r="W122" s="3"/>
      <c r="X122" s="3"/>
      <c r="Y122" s="3"/>
      <c r="Z122" s="3"/>
      <c r="AA122" s="3"/>
      <c r="AB122" s="3"/>
      <c r="AC122" s="3"/>
      <c r="AD122" s="3"/>
      <c r="AE122" s="3"/>
      <c r="AF122" s="3"/>
    </row>
    <row r="123" spans="1:32" customFormat="1" ht="62.4" customHeight="1" x14ac:dyDescent="0.25">
      <c r="A123" s="16" t="s">
        <v>93</v>
      </c>
      <c r="B123" s="58" t="s">
        <v>364</v>
      </c>
      <c r="C123" s="19"/>
      <c r="D123" s="17"/>
      <c r="E123" s="17"/>
      <c r="F123" s="17"/>
      <c r="G123" s="17"/>
      <c r="H123" s="78" t="s">
        <v>364</v>
      </c>
      <c r="I123" s="78" t="s">
        <v>185</v>
      </c>
      <c r="J123" s="78">
        <v>13</v>
      </c>
      <c r="K123" s="78" t="s">
        <v>366</v>
      </c>
      <c r="L123" s="79">
        <v>590</v>
      </c>
      <c r="M123" s="78">
        <v>5</v>
      </c>
      <c r="N123" s="79">
        <f>SUM(O123-L123)</f>
        <v>29.5</v>
      </c>
      <c r="O123" s="79">
        <f>SUM(L123*1.05)</f>
        <v>619.5</v>
      </c>
      <c r="P123" s="78" t="s">
        <v>237</v>
      </c>
      <c r="Q123" s="75" t="s">
        <v>365</v>
      </c>
      <c r="R123" s="41">
        <f>SUM(4*400)</f>
        <v>1600</v>
      </c>
      <c r="S123" s="41">
        <f>SUM(20000+720)</f>
        <v>20720</v>
      </c>
      <c r="T123" s="41">
        <f>SUM(S123/R123)</f>
        <v>12.95</v>
      </c>
      <c r="U123" s="42">
        <f>SUM(J123*L123)</f>
        <v>7670</v>
      </c>
      <c r="V123" s="42">
        <f>SUM(J123*O123)</f>
        <v>8053.5</v>
      </c>
      <c r="W123" s="3"/>
      <c r="X123" s="3"/>
      <c r="Y123" s="3"/>
      <c r="Z123" s="3"/>
      <c r="AA123" s="3"/>
      <c r="AB123" s="3"/>
      <c r="AC123" s="3"/>
      <c r="AD123" s="3"/>
      <c r="AE123" s="3"/>
      <c r="AF123" s="3"/>
    </row>
    <row r="124" spans="1:32" customFormat="1" ht="62.4" customHeight="1" x14ac:dyDescent="0.25">
      <c r="A124" s="16" t="s">
        <v>368</v>
      </c>
      <c r="B124" s="59" t="s">
        <v>383</v>
      </c>
      <c r="C124" s="19"/>
      <c r="D124" s="17"/>
      <c r="E124" s="17"/>
      <c r="F124" s="17"/>
      <c r="G124" s="17"/>
      <c r="H124" s="75" t="s">
        <v>367</v>
      </c>
      <c r="I124" s="78" t="s">
        <v>185</v>
      </c>
      <c r="J124" s="78">
        <v>2</v>
      </c>
      <c r="K124" s="78" t="s">
        <v>335</v>
      </c>
      <c r="L124" s="79">
        <v>198</v>
      </c>
      <c r="M124" s="78">
        <v>5</v>
      </c>
      <c r="N124" s="78">
        <f t="shared" ref="N124:N127" si="72">SUM(O124-L124)</f>
        <v>9.9000000000000057</v>
      </c>
      <c r="O124" s="79">
        <f>SUM(L124*1.05)</f>
        <v>207.9</v>
      </c>
      <c r="P124" s="78" t="s">
        <v>237</v>
      </c>
      <c r="Q124" s="75" t="s">
        <v>374</v>
      </c>
      <c r="R124" s="50"/>
      <c r="S124" s="50"/>
      <c r="T124" s="50"/>
      <c r="U124" s="42">
        <f t="shared" ref="U124:U127" si="73">SUM(J124*L124)</f>
        <v>396</v>
      </c>
      <c r="V124" s="42">
        <f t="shared" ref="V124:V127" si="74">SUM(J124*O124)</f>
        <v>415.8</v>
      </c>
      <c r="W124" s="3"/>
      <c r="X124" s="3"/>
      <c r="Y124" s="3"/>
      <c r="Z124" s="3"/>
      <c r="AA124" s="3"/>
      <c r="AB124" s="3"/>
      <c r="AC124" s="3"/>
      <c r="AD124" s="3"/>
      <c r="AE124" s="3"/>
      <c r="AF124" s="3"/>
    </row>
    <row r="125" spans="1:32" customFormat="1" ht="62.4" customHeight="1" x14ac:dyDescent="0.25">
      <c r="A125" s="16" t="s">
        <v>370</v>
      </c>
      <c r="B125" s="59" t="s">
        <v>328</v>
      </c>
      <c r="C125" s="19"/>
      <c r="D125" s="17"/>
      <c r="E125" s="17"/>
      <c r="F125" s="17"/>
      <c r="G125" s="17"/>
      <c r="H125" s="75" t="s">
        <v>328</v>
      </c>
      <c r="I125" s="78" t="s">
        <v>185</v>
      </c>
      <c r="J125" s="78">
        <v>0.25</v>
      </c>
      <c r="K125" s="78" t="s">
        <v>334</v>
      </c>
      <c r="L125" s="79">
        <v>262</v>
      </c>
      <c r="M125" s="78">
        <v>5</v>
      </c>
      <c r="N125" s="78">
        <f t="shared" si="72"/>
        <v>13.100000000000023</v>
      </c>
      <c r="O125" s="79">
        <f t="shared" ref="O125:O127" si="75">SUM(L125*1.05)</f>
        <v>275.10000000000002</v>
      </c>
      <c r="P125" s="78" t="s">
        <v>186</v>
      </c>
      <c r="Q125" s="75" t="s">
        <v>375</v>
      </c>
      <c r="R125" s="50"/>
      <c r="S125" s="50"/>
      <c r="T125" s="50"/>
      <c r="U125" s="42">
        <f t="shared" si="73"/>
        <v>65.5</v>
      </c>
      <c r="V125" s="42">
        <f t="shared" si="74"/>
        <v>68.775000000000006</v>
      </c>
      <c r="W125" s="3"/>
      <c r="X125" s="3"/>
      <c r="Y125" s="3"/>
      <c r="Z125" s="3"/>
      <c r="AA125" s="3"/>
      <c r="AB125" s="3"/>
      <c r="AC125" s="3"/>
      <c r="AD125" s="3"/>
      <c r="AE125" s="3"/>
      <c r="AF125" s="3"/>
    </row>
    <row r="126" spans="1:32" customFormat="1" ht="62.4" customHeight="1" x14ac:dyDescent="0.25">
      <c r="A126" s="16" t="s">
        <v>371</v>
      </c>
      <c r="B126" s="59" t="s">
        <v>329</v>
      </c>
      <c r="C126" s="19"/>
      <c r="D126" s="17"/>
      <c r="E126" s="17"/>
      <c r="F126" s="17"/>
      <c r="G126" s="17"/>
      <c r="H126" s="75" t="s">
        <v>329</v>
      </c>
      <c r="I126" s="78" t="s">
        <v>185</v>
      </c>
      <c r="J126" s="78">
        <v>0.25</v>
      </c>
      <c r="K126" s="78" t="s">
        <v>334</v>
      </c>
      <c r="L126" s="79">
        <v>262</v>
      </c>
      <c r="M126" s="78">
        <v>5</v>
      </c>
      <c r="N126" s="78">
        <f t="shared" si="72"/>
        <v>13.100000000000023</v>
      </c>
      <c r="O126" s="79">
        <f t="shared" si="75"/>
        <v>275.10000000000002</v>
      </c>
      <c r="P126" s="78" t="s">
        <v>186</v>
      </c>
      <c r="Q126" s="75" t="s">
        <v>376</v>
      </c>
      <c r="R126" s="50"/>
      <c r="S126" s="50"/>
      <c r="T126" s="50"/>
      <c r="U126" s="42">
        <f t="shared" si="73"/>
        <v>65.5</v>
      </c>
      <c r="V126" s="42">
        <f t="shared" si="74"/>
        <v>68.775000000000006</v>
      </c>
      <c r="W126" s="3"/>
      <c r="X126" s="3"/>
      <c r="Y126" s="3"/>
      <c r="Z126" s="3"/>
      <c r="AA126" s="3"/>
      <c r="AB126" s="3"/>
      <c r="AC126" s="3"/>
      <c r="AD126" s="3"/>
      <c r="AE126" s="3"/>
      <c r="AF126" s="3"/>
    </row>
    <row r="127" spans="1:32" customFormat="1" ht="41.4" x14ac:dyDescent="0.25">
      <c r="A127" s="16" t="s">
        <v>372</v>
      </c>
      <c r="B127" s="59" t="s">
        <v>330</v>
      </c>
      <c r="C127" s="19"/>
      <c r="D127" s="17"/>
      <c r="E127" s="17"/>
      <c r="F127" s="17"/>
      <c r="G127" s="17"/>
      <c r="H127" s="75" t="s">
        <v>330</v>
      </c>
      <c r="I127" s="78" t="s">
        <v>185</v>
      </c>
      <c r="J127" s="78">
        <v>0.25</v>
      </c>
      <c r="K127" s="78" t="s">
        <v>334</v>
      </c>
      <c r="L127" s="79">
        <v>262</v>
      </c>
      <c r="M127" s="78">
        <v>5</v>
      </c>
      <c r="N127" s="78">
        <f t="shared" si="72"/>
        <v>13.100000000000023</v>
      </c>
      <c r="O127" s="79">
        <f t="shared" si="75"/>
        <v>275.10000000000002</v>
      </c>
      <c r="P127" s="78" t="s">
        <v>186</v>
      </c>
      <c r="Q127" s="75" t="s">
        <v>377</v>
      </c>
      <c r="R127" s="3"/>
      <c r="S127" s="3"/>
      <c r="T127" s="3"/>
      <c r="U127" s="42">
        <f t="shared" si="73"/>
        <v>65.5</v>
      </c>
      <c r="V127" s="42">
        <f t="shared" si="74"/>
        <v>68.775000000000006</v>
      </c>
      <c r="W127" s="3"/>
      <c r="X127" s="3"/>
      <c r="Y127" s="3"/>
      <c r="Z127" s="3"/>
      <c r="AA127" s="3"/>
      <c r="AB127" s="3"/>
      <c r="AC127" s="3"/>
      <c r="AD127" s="3"/>
      <c r="AE127" s="3"/>
      <c r="AF127" s="3"/>
    </row>
    <row r="128" spans="1:32" customFormat="1" ht="14.4" x14ac:dyDescent="0.25">
      <c r="A128" s="16"/>
      <c r="B128" s="54"/>
      <c r="C128" s="19"/>
      <c r="D128" s="17"/>
      <c r="E128" s="17"/>
      <c r="F128" s="17"/>
      <c r="G128" s="17"/>
      <c r="H128" s="17"/>
      <c r="I128" s="17"/>
      <c r="J128" s="17"/>
      <c r="K128" s="17"/>
      <c r="L128" s="17"/>
      <c r="M128" s="17"/>
      <c r="N128" s="17"/>
      <c r="O128" s="17"/>
      <c r="P128" s="17"/>
      <c r="Q128" s="17"/>
      <c r="R128" s="3"/>
      <c r="S128" s="3"/>
      <c r="T128" s="53" t="s">
        <v>596</v>
      </c>
      <c r="U128" s="42">
        <f>SUM(U123:U127)</f>
        <v>8262.5</v>
      </c>
      <c r="V128" s="42">
        <f>SUM(V123:V127)</f>
        <v>8675.6249999999982</v>
      </c>
      <c r="W128" s="3"/>
      <c r="X128" s="3"/>
      <c r="Y128" s="3"/>
      <c r="Z128" s="3"/>
      <c r="AA128" s="3"/>
      <c r="AB128" s="3"/>
      <c r="AC128" s="3"/>
      <c r="AD128" s="3"/>
      <c r="AE128" s="3"/>
      <c r="AF128" s="3"/>
    </row>
    <row r="129" spans="1:32" customFormat="1" ht="46.2" customHeight="1" x14ac:dyDescent="0.25">
      <c r="A129" s="15" t="s">
        <v>94</v>
      </c>
      <c r="B129" s="25" t="s">
        <v>102</v>
      </c>
      <c r="C129" s="27">
        <v>1800</v>
      </c>
      <c r="D129" s="18">
        <f>SUM(E129/C129)</f>
        <v>1.2774930176590094</v>
      </c>
      <c r="E129" s="37">
        <f>SUM(U135+(W223*C129)+(W233*C129))</f>
        <v>2299.4874317862168</v>
      </c>
      <c r="F129" s="56" t="s">
        <v>593</v>
      </c>
      <c r="G129" s="37">
        <f>SUM(V135+(X223*C129)+(X233*C129))</f>
        <v>2417.3563100421943</v>
      </c>
      <c r="H129" s="17"/>
      <c r="I129" s="17"/>
      <c r="J129" s="17"/>
      <c r="K129" s="17"/>
      <c r="L129" s="17"/>
      <c r="M129" s="17"/>
      <c r="N129" s="17"/>
      <c r="O129" s="17"/>
      <c r="P129" s="17"/>
      <c r="Q129" s="17"/>
      <c r="R129" s="3"/>
      <c r="S129" s="3"/>
      <c r="T129" s="3"/>
      <c r="U129" s="3"/>
      <c r="V129" s="3"/>
      <c r="W129" s="3"/>
      <c r="X129" s="3"/>
      <c r="Y129" s="3"/>
      <c r="Z129" s="3"/>
      <c r="AA129" s="3"/>
      <c r="AB129" s="3"/>
      <c r="AC129" s="3"/>
      <c r="AD129" s="3"/>
      <c r="AE129" s="3"/>
      <c r="AF129" s="3"/>
    </row>
    <row r="130" spans="1:32" customFormat="1" ht="66" customHeight="1" x14ac:dyDescent="0.25">
      <c r="A130" s="16" t="s">
        <v>95</v>
      </c>
      <c r="B130" s="58" t="s">
        <v>373</v>
      </c>
      <c r="C130" s="19"/>
      <c r="D130" s="17"/>
      <c r="E130" s="17"/>
      <c r="F130" s="17"/>
      <c r="G130" s="17"/>
      <c r="H130" s="78" t="s">
        <v>373</v>
      </c>
      <c r="I130" s="78" t="s">
        <v>185</v>
      </c>
      <c r="J130" s="78">
        <v>3</v>
      </c>
      <c r="K130" s="78" t="s">
        <v>378</v>
      </c>
      <c r="L130" s="79">
        <v>610</v>
      </c>
      <c r="M130" s="78">
        <v>5</v>
      </c>
      <c r="N130" s="79">
        <f>SUM(O130-L130)</f>
        <v>30.5</v>
      </c>
      <c r="O130" s="79">
        <f>SUM(L130*1.05)</f>
        <v>640.5</v>
      </c>
      <c r="P130" s="78" t="s">
        <v>237</v>
      </c>
      <c r="Q130" s="75" t="s">
        <v>379</v>
      </c>
      <c r="R130" s="41">
        <f>SUM(4*250)</f>
        <v>1000</v>
      </c>
      <c r="S130" s="41">
        <f>SUM(1800+480)</f>
        <v>2280</v>
      </c>
      <c r="T130" s="41">
        <f>SUM(S130/R130)</f>
        <v>2.2799999999999998</v>
      </c>
      <c r="U130" s="42">
        <f>SUM(J130*L130)</f>
        <v>1830</v>
      </c>
      <c r="V130" s="42">
        <f>SUM(J130*O130)</f>
        <v>1921.5</v>
      </c>
      <c r="W130" s="3"/>
      <c r="X130" s="3"/>
      <c r="Y130" s="3"/>
      <c r="Z130" s="3"/>
      <c r="AA130" s="3"/>
      <c r="AB130" s="3"/>
      <c r="AC130" s="3"/>
      <c r="AD130" s="3"/>
      <c r="AE130" s="3"/>
      <c r="AF130" s="3"/>
    </row>
    <row r="131" spans="1:32" customFormat="1" ht="41.4" x14ac:dyDescent="0.25">
      <c r="A131" s="16" t="s">
        <v>384</v>
      </c>
      <c r="B131" s="51" t="s">
        <v>382</v>
      </c>
      <c r="C131" s="19"/>
      <c r="D131" s="17"/>
      <c r="E131" s="17"/>
      <c r="F131" s="17"/>
      <c r="G131" s="17"/>
      <c r="H131" s="78" t="s">
        <v>380</v>
      </c>
      <c r="I131" s="78" t="s">
        <v>185</v>
      </c>
      <c r="J131" s="78">
        <v>2</v>
      </c>
      <c r="K131" s="78" t="s">
        <v>335</v>
      </c>
      <c r="L131" s="79">
        <v>125</v>
      </c>
      <c r="M131" s="78">
        <v>5</v>
      </c>
      <c r="N131" s="79">
        <f>SUM(O131-L131)</f>
        <v>6.25</v>
      </c>
      <c r="O131" s="79">
        <f>SUM(L131*1.05)</f>
        <v>131.25</v>
      </c>
      <c r="P131" s="78" t="s">
        <v>237</v>
      </c>
      <c r="Q131" s="75" t="s">
        <v>381</v>
      </c>
      <c r="R131" s="3"/>
      <c r="S131" s="3"/>
      <c r="T131" s="3"/>
      <c r="U131" s="42">
        <f t="shared" ref="U131:U134" si="76">SUM(J131*L131)</f>
        <v>250</v>
      </c>
      <c r="V131" s="42">
        <f t="shared" ref="V131:V134" si="77">SUM(J131*O131)</f>
        <v>262.5</v>
      </c>
      <c r="W131" s="3"/>
      <c r="X131" s="3"/>
      <c r="Y131" s="3"/>
      <c r="Z131" s="3"/>
      <c r="AA131" s="3"/>
      <c r="AB131" s="3"/>
      <c r="AC131" s="3"/>
      <c r="AD131" s="3"/>
      <c r="AE131" s="3"/>
      <c r="AF131" s="3"/>
    </row>
    <row r="132" spans="1:32" customFormat="1" ht="41.4" x14ac:dyDescent="0.25">
      <c r="A132" s="16" t="s">
        <v>385</v>
      </c>
      <c r="B132" s="51" t="s">
        <v>328</v>
      </c>
      <c r="C132" s="19"/>
      <c r="D132" s="17"/>
      <c r="E132" s="17"/>
      <c r="F132" s="17"/>
      <c r="G132" s="17"/>
      <c r="H132" s="75" t="s">
        <v>328</v>
      </c>
      <c r="I132" s="78" t="s">
        <v>185</v>
      </c>
      <c r="J132" s="78">
        <v>0.25</v>
      </c>
      <c r="K132" s="78" t="s">
        <v>334</v>
      </c>
      <c r="L132" s="79">
        <v>262</v>
      </c>
      <c r="M132" s="78">
        <v>5</v>
      </c>
      <c r="N132" s="78">
        <f t="shared" ref="N132:N134" si="78">SUM(O132-L132)</f>
        <v>13.100000000000023</v>
      </c>
      <c r="O132" s="79">
        <f t="shared" ref="O132:O134" si="79">SUM(L132*1.05)</f>
        <v>275.10000000000002</v>
      </c>
      <c r="P132" s="78" t="s">
        <v>186</v>
      </c>
      <c r="Q132" s="75" t="s">
        <v>375</v>
      </c>
      <c r="R132" s="3"/>
      <c r="S132" s="3"/>
      <c r="T132" s="3"/>
      <c r="U132" s="42">
        <f t="shared" si="76"/>
        <v>65.5</v>
      </c>
      <c r="V132" s="42">
        <f t="shared" si="77"/>
        <v>68.775000000000006</v>
      </c>
      <c r="W132" s="3"/>
      <c r="X132" s="3"/>
      <c r="Y132" s="3"/>
      <c r="Z132" s="3"/>
      <c r="AA132" s="3"/>
      <c r="AB132" s="3"/>
      <c r="AC132" s="3"/>
      <c r="AD132" s="3"/>
      <c r="AE132" s="3"/>
      <c r="AF132" s="3"/>
    </row>
    <row r="133" spans="1:32" customFormat="1" ht="41.4" x14ac:dyDescent="0.25">
      <c r="A133" s="16" t="s">
        <v>386</v>
      </c>
      <c r="B133" s="51" t="s">
        <v>329</v>
      </c>
      <c r="C133" s="19"/>
      <c r="D133" s="17"/>
      <c r="E133" s="17"/>
      <c r="F133" s="17"/>
      <c r="G133" s="17"/>
      <c r="H133" s="75" t="s">
        <v>329</v>
      </c>
      <c r="I133" s="78" t="s">
        <v>185</v>
      </c>
      <c r="J133" s="78">
        <v>0.25</v>
      </c>
      <c r="K133" s="78" t="s">
        <v>334</v>
      </c>
      <c r="L133" s="79">
        <v>262</v>
      </c>
      <c r="M133" s="78">
        <v>5</v>
      </c>
      <c r="N133" s="78">
        <f t="shared" si="78"/>
        <v>13.100000000000023</v>
      </c>
      <c r="O133" s="79">
        <f t="shared" si="79"/>
        <v>275.10000000000002</v>
      </c>
      <c r="P133" s="78" t="s">
        <v>186</v>
      </c>
      <c r="Q133" s="75" t="s">
        <v>376</v>
      </c>
      <c r="R133" s="3"/>
      <c r="S133" s="3"/>
      <c r="T133" s="3"/>
      <c r="U133" s="42">
        <f t="shared" si="76"/>
        <v>65.5</v>
      </c>
      <c r="V133" s="42">
        <f t="shared" si="77"/>
        <v>68.775000000000006</v>
      </c>
      <c r="W133" s="3"/>
      <c r="X133" s="3"/>
      <c r="Y133" s="3"/>
      <c r="Z133" s="3"/>
      <c r="AA133" s="3"/>
      <c r="AB133" s="3"/>
      <c r="AC133" s="3"/>
      <c r="AD133" s="3"/>
      <c r="AE133" s="3"/>
      <c r="AF133" s="3"/>
    </row>
    <row r="134" spans="1:32" customFormat="1" ht="41.4" x14ac:dyDescent="0.25">
      <c r="A134" s="16" t="s">
        <v>387</v>
      </c>
      <c r="B134" s="51" t="s">
        <v>330</v>
      </c>
      <c r="C134" s="19"/>
      <c r="D134" s="17"/>
      <c r="E134" s="17"/>
      <c r="F134" s="17"/>
      <c r="G134" s="17"/>
      <c r="H134" s="75" t="s">
        <v>330</v>
      </c>
      <c r="I134" s="78" t="s">
        <v>185</v>
      </c>
      <c r="J134" s="78">
        <v>0.25</v>
      </c>
      <c r="K134" s="78" t="s">
        <v>334</v>
      </c>
      <c r="L134" s="79">
        <v>262</v>
      </c>
      <c r="M134" s="78">
        <v>5</v>
      </c>
      <c r="N134" s="78">
        <f t="shared" si="78"/>
        <v>13.100000000000023</v>
      </c>
      <c r="O134" s="79">
        <f t="shared" si="79"/>
        <v>275.10000000000002</v>
      </c>
      <c r="P134" s="78" t="s">
        <v>186</v>
      </c>
      <c r="Q134" s="75" t="s">
        <v>377</v>
      </c>
      <c r="R134" s="3"/>
      <c r="S134" s="3"/>
      <c r="T134" s="3"/>
      <c r="U134" s="42">
        <f t="shared" si="76"/>
        <v>65.5</v>
      </c>
      <c r="V134" s="42">
        <f t="shared" si="77"/>
        <v>68.775000000000006</v>
      </c>
      <c r="W134" s="3"/>
      <c r="X134" s="3"/>
      <c r="Y134" s="3"/>
      <c r="Z134" s="3"/>
      <c r="AA134" s="3"/>
      <c r="AB134" s="3"/>
      <c r="AC134" s="3"/>
      <c r="AD134" s="3"/>
      <c r="AE134" s="3"/>
      <c r="AF134" s="3"/>
    </row>
    <row r="135" spans="1:32" customFormat="1" ht="13.8" x14ac:dyDescent="0.25">
      <c r="A135" s="16"/>
      <c r="B135" s="26"/>
      <c r="C135" s="19"/>
      <c r="D135" s="17"/>
      <c r="E135" s="17"/>
      <c r="F135" s="17"/>
      <c r="G135" s="17"/>
      <c r="H135" s="17"/>
      <c r="I135" s="17"/>
      <c r="J135" s="17"/>
      <c r="K135" s="17"/>
      <c r="L135" s="17"/>
      <c r="M135" s="17"/>
      <c r="N135" s="17"/>
      <c r="O135" s="17"/>
      <c r="P135" s="17"/>
      <c r="Q135" s="17"/>
      <c r="R135" s="3"/>
      <c r="S135" s="3"/>
      <c r="T135" s="53" t="s">
        <v>596</v>
      </c>
      <c r="U135" s="44">
        <f>SUM(U130:U134)</f>
        <v>2276.5</v>
      </c>
      <c r="V135" s="44">
        <f>SUM(V130:V134)</f>
        <v>2390.3250000000003</v>
      </c>
      <c r="W135" s="3"/>
      <c r="X135" s="3"/>
      <c r="Y135" s="3"/>
      <c r="Z135" s="3"/>
      <c r="AA135" s="3"/>
      <c r="AB135" s="3"/>
      <c r="AC135" s="3"/>
      <c r="AD135" s="3"/>
      <c r="AE135" s="3"/>
      <c r="AF135" s="3"/>
    </row>
    <row r="136" spans="1:32" customFormat="1" ht="46.2" customHeight="1" x14ac:dyDescent="0.25">
      <c r="A136" s="15" t="s">
        <v>98</v>
      </c>
      <c r="B136" s="25" t="s">
        <v>107</v>
      </c>
      <c r="C136" s="27">
        <v>10000</v>
      </c>
      <c r="D136" s="18">
        <f>SUM(E136/C136)</f>
        <v>5.4137295436786997E-2</v>
      </c>
      <c r="E136" s="37">
        <f>SUM(U141+(W223*C136)+(W233*C136))</f>
        <v>541.37295436786997</v>
      </c>
      <c r="F136" s="56" t="s">
        <v>593</v>
      </c>
      <c r="G136" s="37">
        <f>SUM(V141+(X223*C136)+(X233*C136))</f>
        <v>584.52219467885607</v>
      </c>
      <c r="H136" s="17"/>
      <c r="I136" s="17"/>
      <c r="J136" s="17"/>
      <c r="K136" s="17"/>
      <c r="L136" s="17"/>
      <c r="M136" s="17"/>
      <c r="N136" s="17"/>
      <c r="O136" s="17"/>
      <c r="P136" s="17"/>
      <c r="Q136" s="17"/>
      <c r="R136" s="3"/>
      <c r="S136" s="3"/>
      <c r="T136" s="3"/>
      <c r="U136" s="3"/>
      <c r="V136" s="3"/>
      <c r="W136" s="3"/>
      <c r="X136" s="3"/>
      <c r="Y136" s="3"/>
      <c r="Z136" s="3"/>
      <c r="AA136" s="3"/>
      <c r="AB136" s="3"/>
      <c r="AC136" s="3"/>
      <c r="AD136" s="3"/>
      <c r="AE136" s="3"/>
      <c r="AF136" s="3"/>
    </row>
    <row r="137" spans="1:32" customFormat="1" ht="66" customHeight="1" x14ac:dyDescent="0.25">
      <c r="A137" s="16" t="s">
        <v>99</v>
      </c>
      <c r="B137" s="21" t="s">
        <v>70</v>
      </c>
      <c r="C137" s="19"/>
      <c r="D137" s="17"/>
      <c r="E137" s="17"/>
      <c r="F137" s="17"/>
      <c r="G137" s="17"/>
      <c r="H137" s="78" t="s">
        <v>388</v>
      </c>
      <c r="I137" s="78" t="s">
        <v>185</v>
      </c>
      <c r="J137" s="78">
        <v>3</v>
      </c>
      <c r="K137" s="78" t="s">
        <v>390</v>
      </c>
      <c r="L137" s="79">
        <v>123</v>
      </c>
      <c r="M137" s="78">
        <v>5</v>
      </c>
      <c r="N137" s="79">
        <f>SUM(O137-L137)</f>
        <v>6.1500000000000057</v>
      </c>
      <c r="O137" s="79">
        <f>SUM(L137*1.05)</f>
        <v>129.15</v>
      </c>
      <c r="P137" s="78" t="s">
        <v>186</v>
      </c>
      <c r="Q137" s="75" t="s">
        <v>389</v>
      </c>
      <c r="R137" s="41">
        <f>SUM(4*1300)</f>
        <v>5200</v>
      </c>
      <c r="S137" s="41">
        <f>SUM(10000+480)</f>
        <v>10480</v>
      </c>
      <c r="T137" s="42">
        <f>SUM(S137/R137)</f>
        <v>2.0153846153846153</v>
      </c>
      <c r="U137" s="42">
        <f>SUM(J137*L137)</f>
        <v>369</v>
      </c>
      <c r="V137" s="42">
        <f>SUM(J137*O137)</f>
        <v>387.45000000000005</v>
      </c>
      <c r="W137" s="3"/>
      <c r="X137" s="3"/>
      <c r="Y137" s="3"/>
      <c r="Z137" s="3"/>
      <c r="AA137" s="3"/>
      <c r="AB137" s="3"/>
      <c r="AC137" s="3"/>
      <c r="AD137" s="3"/>
      <c r="AE137" s="3"/>
      <c r="AF137" s="3"/>
    </row>
    <row r="138" spans="1:32" customFormat="1" ht="66" customHeight="1" x14ac:dyDescent="0.25">
      <c r="A138" s="16" t="s">
        <v>391</v>
      </c>
      <c r="B138" s="40" t="s">
        <v>193</v>
      </c>
      <c r="C138" s="19"/>
      <c r="D138" s="17"/>
      <c r="E138" s="17"/>
      <c r="F138" s="17"/>
      <c r="G138" s="17"/>
      <c r="H138" s="78" t="s">
        <v>196</v>
      </c>
      <c r="I138" s="78" t="s">
        <v>185</v>
      </c>
      <c r="J138" s="78">
        <v>0.05</v>
      </c>
      <c r="K138" s="78" t="s">
        <v>281</v>
      </c>
      <c r="L138" s="79">
        <v>160.5</v>
      </c>
      <c r="M138" s="78">
        <v>5</v>
      </c>
      <c r="N138" s="80">
        <f>SUM(O138-L138)</f>
        <v>8.0250000000000057</v>
      </c>
      <c r="O138" s="79">
        <f>SUM(L138*1.05)</f>
        <v>168.52500000000001</v>
      </c>
      <c r="P138" s="78" t="s">
        <v>186</v>
      </c>
      <c r="Q138" s="75" t="s">
        <v>211</v>
      </c>
      <c r="R138" s="3"/>
      <c r="S138" s="3"/>
      <c r="T138" s="3"/>
      <c r="U138" s="42">
        <f t="shared" ref="U138:U140" si="80">SUM(J138*L138)</f>
        <v>8.0250000000000004</v>
      </c>
      <c r="V138" s="42">
        <f t="shared" ref="V138:V140" si="81">SUM(J138*O138)</f>
        <v>8.4262500000000014</v>
      </c>
      <c r="W138" s="3"/>
      <c r="X138" s="3"/>
      <c r="Y138" s="3"/>
      <c r="Z138" s="3"/>
      <c r="AA138" s="3"/>
      <c r="AB138" s="3"/>
      <c r="AC138" s="3"/>
      <c r="AD138" s="3"/>
      <c r="AE138" s="3"/>
      <c r="AF138" s="3"/>
    </row>
    <row r="139" spans="1:32" customFormat="1" ht="66" customHeight="1" x14ac:dyDescent="0.25">
      <c r="A139" s="16" t="s">
        <v>392</v>
      </c>
      <c r="B139" s="40" t="s">
        <v>194</v>
      </c>
      <c r="C139" s="19"/>
      <c r="D139" s="17"/>
      <c r="E139" s="17"/>
      <c r="F139" s="17"/>
      <c r="G139" s="17"/>
      <c r="H139" s="78" t="s">
        <v>197</v>
      </c>
      <c r="I139" s="78" t="s">
        <v>185</v>
      </c>
      <c r="J139" s="78">
        <v>0.1</v>
      </c>
      <c r="K139" s="78" t="s">
        <v>198</v>
      </c>
      <c r="L139" s="79">
        <v>183.2</v>
      </c>
      <c r="M139" s="78">
        <v>5</v>
      </c>
      <c r="N139" s="80">
        <f t="shared" ref="N139:N140" si="82">SUM(O139-L139)</f>
        <v>9.1599999999999966</v>
      </c>
      <c r="O139" s="79">
        <f t="shared" ref="O139:O140" si="83">SUM(L139*1.05)</f>
        <v>192.35999999999999</v>
      </c>
      <c r="P139" s="78" t="s">
        <v>186</v>
      </c>
      <c r="Q139" s="75" t="s">
        <v>212</v>
      </c>
      <c r="R139" s="3"/>
      <c r="S139" s="3"/>
      <c r="T139" s="3"/>
      <c r="U139" s="42">
        <f t="shared" si="80"/>
        <v>18.32</v>
      </c>
      <c r="V139" s="42">
        <f t="shared" si="81"/>
        <v>19.236000000000001</v>
      </c>
      <c r="W139" s="3"/>
      <c r="X139" s="3"/>
      <c r="Y139" s="3"/>
      <c r="Z139" s="3"/>
      <c r="AA139" s="3"/>
      <c r="AB139" s="3"/>
      <c r="AC139" s="3"/>
      <c r="AD139" s="3"/>
      <c r="AE139" s="3"/>
      <c r="AF139" s="3"/>
    </row>
    <row r="140" spans="1:32" customFormat="1" ht="41.4" x14ac:dyDescent="0.25">
      <c r="A140" s="16" t="s">
        <v>393</v>
      </c>
      <c r="B140" s="40" t="s">
        <v>195</v>
      </c>
      <c r="C140" s="19"/>
      <c r="D140" s="17"/>
      <c r="E140" s="17"/>
      <c r="F140" s="17"/>
      <c r="G140" s="17"/>
      <c r="H140" s="78" t="s">
        <v>197</v>
      </c>
      <c r="I140" s="78" t="s">
        <v>185</v>
      </c>
      <c r="J140" s="78">
        <v>0.1</v>
      </c>
      <c r="K140" s="78" t="s">
        <v>198</v>
      </c>
      <c r="L140" s="79">
        <v>183.2</v>
      </c>
      <c r="M140" s="78">
        <v>5</v>
      </c>
      <c r="N140" s="80">
        <f t="shared" si="82"/>
        <v>9.1599999999999966</v>
      </c>
      <c r="O140" s="79">
        <f t="shared" si="83"/>
        <v>192.35999999999999</v>
      </c>
      <c r="P140" s="78" t="s">
        <v>186</v>
      </c>
      <c r="Q140" s="75" t="s">
        <v>213</v>
      </c>
      <c r="R140" s="3"/>
      <c r="S140" s="3"/>
      <c r="T140" s="3"/>
      <c r="U140" s="42">
        <f t="shared" si="80"/>
        <v>18.32</v>
      </c>
      <c r="V140" s="42">
        <f t="shared" si="81"/>
        <v>19.236000000000001</v>
      </c>
      <c r="W140" s="3"/>
      <c r="X140" s="3"/>
      <c r="Y140" s="3"/>
      <c r="Z140" s="3"/>
      <c r="AA140" s="3"/>
      <c r="AB140" s="3"/>
      <c r="AC140" s="3"/>
      <c r="AD140" s="3"/>
      <c r="AE140" s="3"/>
      <c r="AF140" s="3"/>
    </row>
    <row r="141" spans="1:32" customFormat="1" ht="13.8" x14ac:dyDescent="0.25">
      <c r="A141" s="16"/>
      <c r="B141" s="26"/>
      <c r="C141" s="19"/>
      <c r="D141" s="17"/>
      <c r="E141" s="17"/>
      <c r="F141" s="17"/>
      <c r="G141" s="17"/>
      <c r="H141" s="17"/>
      <c r="I141" s="17"/>
      <c r="J141" s="17"/>
      <c r="K141" s="17"/>
      <c r="L141" s="17"/>
      <c r="M141" s="17"/>
      <c r="N141" s="17"/>
      <c r="O141" s="17"/>
      <c r="P141" s="17"/>
      <c r="Q141" s="17"/>
      <c r="R141" s="3"/>
      <c r="S141" s="3"/>
      <c r="T141" s="53" t="s">
        <v>596</v>
      </c>
      <c r="U141" s="44">
        <f>SUM(U137:U140)</f>
        <v>413.66499999999996</v>
      </c>
      <c r="V141" s="44">
        <f>SUM(V137:V140)</f>
        <v>434.34825000000001</v>
      </c>
      <c r="W141" s="3"/>
      <c r="X141" s="3"/>
      <c r="Y141" s="3"/>
      <c r="Z141" s="3"/>
      <c r="AA141" s="3"/>
      <c r="AB141" s="3"/>
      <c r="AC141" s="3"/>
      <c r="AD141" s="3"/>
      <c r="AE141" s="3"/>
      <c r="AF141" s="3"/>
    </row>
    <row r="142" spans="1:32" customFormat="1" ht="46.2" customHeight="1" x14ac:dyDescent="0.25">
      <c r="A142" s="15" t="s">
        <v>100</v>
      </c>
      <c r="B142" s="25" t="s">
        <v>110</v>
      </c>
      <c r="C142" s="27">
        <v>2000</v>
      </c>
      <c r="D142" s="18">
        <f>SUM(E142/C142)</f>
        <v>0.11510329543678699</v>
      </c>
      <c r="E142" s="37">
        <f>SUM(U147+(W223*C142)+(W233*C142))</f>
        <v>230.20659087357399</v>
      </c>
      <c r="F142" s="56" t="s">
        <v>593</v>
      </c>
      <c r="G142" s="37">
        <f>SUM(V147+(X223*C142)+(X233*C142))</f>
        <v>244.93303893577121</v>
      </c>
      <c r="H142" s="17"/>
      <c r="I142" s="17"/>
      <c r="J142" s="17"/>
      <c r="K142" s="17"/>
      <c r="L142" s="17"/>
      <c r="M142" s="17"/>
      <c r="N142" s="17"/>
      <c r="O142" s="17"/>
      <c r="P142" s="17"/>
      <c r="Q142" s="17"/>
      <c r="R142" s="3"/>
      <c r="S142" s="3"/>
      <c r="T142" s="3"/>
      <c r="U142" s="3"/>
      <c r="V142" s="3"/>
      <c r="W142" s="3"/>
      <c r="X142" s="3"/>
      <c r="Y142" s="3"/>
      <c r="Z142" s="3"/>
      <c r="AA142" s="3"/>
      <c r="AB142" s="3"/>
      <c r="AC142" s="3"/>
      <c r="AD142" s="3"/>
      <c r="AE142" s="3"/>
      <c r="AF142" s="3"/>
    </row>
    <row r="143" spans="1:32" customFormat="1" ht="63.75" customHeight="1" x14ac:dyDescent="0.25">
      <c r="A143" s="16" t="s">
        <v>101</v>
      </c>
      <c r="B143" s="21" t="s">
        <v>70</v>
      </c>
      <c r="C143" s="19"/>
      <c r="D143" s="17"/>
      <c r="E143" s="17"/>
      <c r="F143" s="17"/>
      <c r="G143" s="17"/>
      <c r="H143" s="78" t="s">
        <v>394</v>
      </c>
      <c r="I143" s="78" t="s">
        <v>185</v>
      </c>
      <c r="J143" s="78">
        <v>5</v>
      </c>
      <c r="K143" s="78" t="s">
        <v>378</v>
      </c>
      <c r="L143" s="79">
        <v>32</v>
      </c>
      <c r="M143" s="78">
        <v>5</v>
      </c>
      <c r="N143" s="79">
        <f>SUM(O143-L143)</f>
        <v>1.6000000000000014</v>
      </c>
      <c r="O143" s="79">
        <f>SUM(L143*1.05)</f>
        <v>33.6</v>
      </c>
      <c r="P143" s="78" t="s">
        <v>216</v>
      </c>
      <c r="Q143" s="75" t="s">
        <v>395</v>
      </c>
      <c r="R143" s="41">
        <f>SUM(4*250)</f>
        <v>1000</v>
      </c>
      <c r="S143" s="41">
        <f>SUM(2000+480)</f>
        <v>2480</v>
      </c>
      <c r="T143" s="42">
        <f>SUM(((120/14)/4)*2)</f>
        <v>4.2857142857142856</v>
      </c>
      <c r="U143" s="42">
        <f>SUM(J143*L143)</f>
        <v>160</v>
      </c>
      <c r="V143" s="42">
        <f>SUM(J143*O143)</f>
        <v>168</v>
      </c>
      <c r="W143" s="3"/>
      <c r="X143" s="3"/>
      <c r="Y143" s="3"/>
      <c r="Z143" s="3"/>
      <c r="AA143" s="3"/>
      <c r="AB143" s="3"/>
      <c r="AC143" s="3"/>
      <c r="AD143" s="3"/>
      <c r="AE143" s="3"/>
      <c r="AF143" s="3"/>
    </row>
    <row r="144" spans="1:32" customFormat="1" ht="63.75" customHeight="1" x14ac:dyDescent="0.25">
      <c r="A144" s="16" t="s">
        <v>399</v>
      </c>
      <c r="B144" s="40" t="s">
        <v>193</v>
      </c>
      <c r="C144" s="19"/>
      <c r="D144" s="17"/>
      <c r="E144" s="17"/>
      <c r="F144" s="17"/>
      <c r="G144" s="17"/>
      <c r="H144" s="78" t="s">
        <v>196</v>
      </c>
      <c r="I144" s="78" t="s">
        <v>185</v>
      </c>
      <c r="J144" s="78">
        <v>0.05</v>
      </c>
      <c r="K144" s="78" t="s">
        <v>281</v>
      </c>
      <c r="L144" s="79">
        <v>160.5</v>
      </c>
      <c r="M144" s="78">
        <v>5</v>
      </c>
      <c r="N144" s="80">
        <f>SUM(O144-L144)</f>
        <v>8.0250000000000057</v>
      </c>
      <c r="O144" s="79">
        <f>SUM(L144*1.05)</f>
        <v>168.52500000000001</v>
      </c>
      <c r="P144" s="78" t="s">
        <v>186</v>
      </c>
      <c r="Q144" s="75" t="s">
        <v>396</v>
      </c>
      <c r="R144" s="50"/>
      <c r="S144" s="50"/>
      <c r="T144" s="47"/>
      <c r="U144" s="42">
        <f t="shared" ref="U144:U146" si="84">SUM(J144*L144)</f>
        <v>8.0250000000000004</v>
      </c>
      <c r="V144" s="42">
        <f t="shared" ref="V144:V146" si="85">SUM(J144*O144)</f>
        <v>8.4262500000000014</v>
      </c>
      <c r="W144" s="3"/>
      <c r="X144" s="3"/>
      <c r="Y144" s="3"/>
      <c r="Z144" s="3"/>
      <c r="AA144" s="3"/>
      <c r="AB144" s="3"/>
      <c r="AC144" s="3"/>
      <c r="AD144" s="3"/>
      <c r="AE144" s="3"/>
      <c r="AF144" s="3"/>
    </row>
    <row r="145" spans="1:32" customFormat="1" ht="63.75" customHeight="1" x14ac:dyDescent="0.25">
      <c r="A145" s="16" t="s">
        <v>400</v>
      </c>
      <c r="B145" s="40" t="s">
        <v>194</v>
      </c>
      <c r="C145" s="19"/>
      <c r="D145" s="17"/>
      <c r="E145" s="17"/>
      <c r="F145" s="17"/>
      <c r="G145" s="17"/>
      <c r="H145" s="78" t="s">
        <v>197</v>
      </c>
      <c r="I145" s="78" t="s">
        <v>185</v>
      </c>
      <c r="J145" s="78">
        <v>0.1</v>
      </c>
      <c r="K145" s="78" t="s">
        <v>198</v>
      </c>
      <c r="L145" s="79">
        <v>183.2</v>
      </c>
      <c r="M145" s="78">
        <v>5</v>
      </c>
      <c r="N145" s="80">
        <f t="shared" ref="N145:N146" si="86">SUM(O145-L145)</f>
        <v>9.1599999999999966</v>
      </c>
      <c r="O145" s="79">
        <f t="shared" ref="O145:O146" si="87">SUM(L145*1.05)</f>
        <v>192.35999999999999</v>
      </c>
      <c r="P145" s="78" t="s">
        <v>186</v>
      </c>
      <c r="Q145" s="75" t="s">
        <v>397</v>
      </c>
      <c r="R145" s="50"/>
      <c r="S145" s="50"/>
      <c r="T145" s="47"/>
      <c r="U145" s="42">
        <f t="shared" si="84"/>
        <v>18.32</v>
      </c>
      <c r="V145" s="42">
        <f t="shared" si="85"/>
        <v>19.236000000000001</v>
      </c>
      <c r="W145" s="3"/>
      <c r="X145" s="3"/>
      <c r="Y145" s="3"/>
      <c r="Z145" s="3"/>
      <c r="AA145" s="3"/>
      <c r="AB145" s="3"/>
      <c r="AC145" s="3"/>
      <c r="AD145" s="3"/>
      <c r="AE145" s="3"/>
      <c r="AF145" s="3"/>
    </row>
    <row r="146" spans="1:32" customFormat="1" ht="41.4" x14ac:dyDescent="0.25">
      <c r="A146" s="16" t="s">
        <v>401</v>
      </c>
      <c r="B146" s="40" t="s">
        <v>195</v>
      </c>
      <c r="C146" s="19"/>
      <c r="D146" s="17"/>
      <c r="E146" s="17"/>
      <c r="F146" s="17"/>
      <c r="G146" s="17"/>
      <c r="H146" s="78" t="s">
        <v>197</v>
      </c>
      <c r="I146" s="78" t="s">
        <v>185</v>
      </c>
      <c r="J146" s="78">
        <v>0.1</v>
      </c>
      <c r="K146" s="78" t="s">
        <v>198</v>
      </c>
      <c r="L146" s="79">
        <v>183.2</v>
      </c>
      <c r="M146" s="78">
        <v>5</v>
      </c>
      <c r="N146" s="80">
        <f t="shared" si="86"/>
        <v>9.1599999999999966</v>
      </c>
      <c r="O146" s="79">
        <f t="shared" si="87"/>
        <v>192.35999999999999</v>
      </c>
      <c r="P146" s="78" t="s">
        <v>186</v>
      </c>
      <c r="Q146" s="75" t="s">
        <v>398</v>
      </c>
      <c r="R146" s="3"/>
      <c r="S146" s="3"/>
      <c r="T146" s="3"/>
      <c r="U146" s="42">
        <f t="shared" si="84"/>
        <v>18.32</v>
      </c>
      <c r="V146" s="42">
        <f t="shared" si="85"/>
        <v>19.236000000000001</v>
      </c>
      <c r="W146" s="3"/>
      <c r="X146" s="3"/>
      <c r="Y146" s="3"/>
      <c r="Z146" s="3"/>
      <c r="AA146" s="3"/>
      <c r="AB146" s="3"/>
      <c r="AC146" s="3"/>
      <c r="AD146" s="3"/>
      <c r="AE146" s="3"/>
      <c r="AF146" s="3"/>
    </row>
    <row r="147" spans="1:32" customFormat="1" ht="13.8" x14ac:dyDescent="0.25">
      <c r="A147" s="16"/>
      <c r="B147" s="40"/>
      <c r="C147" s="19"/>
      <c r="D147" s="17"/>
      <c r="E147" s="17"/>
      <c r="F147" s="17"/>
      <c r="G147" s="17"/>
      <c r="H147" s="17"/>
      <c r="I147" s="17"/>
      <c r="J147" s="17"/>
      <c r="K147" s="17"/>
      <c r="L147" s="17"/>
      <c r="M147" s="17"/>
      <c r="N147" s="17"/>
      <c r="O147" s="17"/>
      <c r="P147" s="17"/>
      <c r="Q147" s="17"/>
      <c r="R147" s="3"/>
      <c r="S147" s="3"/>
      <c r="T147" s="53" t="s">
        <v>596</v>
      </c>
      <c r="U147" s="44">
        <f>SUM(U143:U146)</f>
        <v>204.66499999999999</v>
      </c>
      <c r="V147" s="44">
        <f>SUM(V143:V146)</f>
        <v>214.89824999999999</v>
      </c>
      <c r="W147" s="3"/>
      <c r="X147" s="3"/>
      <c r="Y147" s="3"/>
      <c r="Z147" s="3"/>
      <c r="AA147" s="3"/>
      <c r="AB147" s="3"/>
      <c r="AC147" s="3"/>
      <c r="AD147" s="3"/>
      <c r="AE147" s="3"/>
      <c r="AF147" s="3"/>
    </row>
    <row r="148" spans="1:32" customFormat="1" ht="46.2" customHeight="1" x14ac:dyDescent="0.25">
      <c r="A148" s="15" t="s">
        <v>103</v>
      </c>
      <c r="B148" s="25" t="s">
        <v>113</v>
      </c>
      <c r="C148" s="27">
        <v>1300</v>
      </c>
      <c r="D148" s="18">
        <f>SUM(E148/C148)</f>
        <v>0.29651310312909462</v>
      </c>
      <c r="E148" s="37">
        <f>SUM(U153+(W223*C148)+(W233*C148))</f>
        <v>385.46703406782302</v>
      </c>
      <c r="F148" s="56" t="s">
        <v>593</v>
      </c>
      <c r="G148" s="37">
        <f>SUM(V153+(X223*C148)+(X233*C148))</f>
        <v>406.83086280825125</v>
      </c>
      <c r="H148" s="17"/>
      <c r="I148" s="17"/>
      <c r="J148" s="17"/>
      <c r="K148" s="17"/>
      <c r="L148" s="17"/>
      <c r="M148" s="17"/>
      <c r="N148" s="17"/>
      <c r="O148" s="17"/>
      <c r="P148" s="17"/>
      <c r="Q148" s="17"/>
      <c r="R148" s="3"/>
      <c r="S148" s="3"/>
      <c r="T148" s="3"/>
      <c r="U148" s="3"/>
      <c r="V148" s="3"/>
      <c r="W148" s="3"/>
      <c r="X148" s="3"/>
      <c r="Y148" s="3"/>
      <c r="Z148" s="3"/>
      <c r="AA148" s="3"/>
      <c r="AB148" s="3"/>
      <c r="AC148" s="3"/>
      <c r="AD148" s="3"/>
      <c r="AE148" s="3"/>
      <c r="AF148" s="3"/>
    </row>
    <row r="149" spans="1:32" customFormat="1" ht="63" customHeight="1" x14ac:dyDescent="0.25">
      <c r="A149" s="16" t="s">
        <v>104</v>
      </c>
      <c r="B149" s="59" t="s">
        <v>402</v>
      </c>
      <c r="C149" s="19"/>
      <c r="D149" s="17"/>
      <c r="E149" s="17"/>
      <c r="F149" s="17"/>
      <c r="G149" s="17"/>
      <c r="H149" s="75" t="s">
        <v>402</v>
      </c>
      <c r="I149" s="78" t="s">
        <v>185</v>
      </c>
      <c r="J149" s="78">
        <v>1</v>
      </c>
      <c r="K149" s="78" t="s">
        <v>403</v>
      </c>
      <c r="L149" s="79">
        <v>324.2</v>
      </c>
      <c r="M149" s="78">
        <v>5</v>
      </c>
      <c r="N149" s="79">
        <f>SUM(O149-L149)</f>
        <v>16.210000000000036</v>
      </c>
      <c r="O149" s="79">
        <f>SUM(L149*1.05)</f>
        <v>340.41</v>
      </c>
      <c r="P149" s="78" t="s">
        <v>404</v>
      </c>
      <c r="Q149" s="75" t="s">
        <v>405</v>
      </c>
      <c r="R149" s="41">
        <f>SUM(4*1313)</f>
        <v>5252</v>
      </c>
      <c r="S149" s="41">
        <f>SUM(1300+480)</f>
        <v>1780</v>
      </c>
      <c r="T149" s="42">
        <f>SUM(S149/R149)</f>
        <v>0.3389185072353389</v>
      </c>
      <c r="U149" s="42">
        <f>SUM(J149*L149)</f>
        <v>324.2</v>
      </c>
      <c r="V149" s="42">
        <f>SUM(J149*O149)</f>
        <v>340.41</v>
      </c>
      <c r="W149" s="3"/>
      <c r="X149" s="3"/>
      <c r="Y149" s="3"/>
      <c r="Z149" s="3"/>
      <c r="AA149" s="3"/>
      <c r="AB149" s="3"/>
      <c r="AC149" s="3"/>
      <c r="AD149" s="3"/>
      <c r="AE149" s="3"/>
      <c r="AF149" s="3"/>
    </row>
    <row r="150" spans="1:32" customFormat="1" ht="63" customHeight="1" x14ac:dyDescent="0.25">
      <c r="A150" s="16" t="s">
        <v>409</v>
      </c>
      <c r="B150" s="40" t="s">
        <v>193</v>
      </c>
      <c r="C150" s="19"/>
      <c r="D150" s="17"/>
      <c r="E150" s="17"/>
      <c r="F150" s="17"/>
      <c r="G150" s="17"/>
      <c r="H150" s="78" t="s">
        <v>196</v>
      </c>
      <c r="I150" s="78" t="s">
        <v>185</v>
      </c>
      <c r="J150" s="78">
        <v>0.05</v>
      </c>
      <c r="K150" s="78" t="s">
        <v>281</v>
      </c>
      <c r="L150" s="79">
        <v>160.5</v>
      </c>
      <c r="M150" s="78">
        <v>5</v>
      </c>
      <c r="N150" s="80">
        <f>SUM(O150-L150)</f>
        <v>8.0250000000000057</v>
      </c>
      <c r="O150" s="79">
        <f>SUM(L150*1.05)</f>
        <v>168.52500000000001</v>
      </c>
      <c r="P150" s="78" t="s">
        <v>186</v>
      </c>
      <c r="Q150" s="75" t="s">
        <v>406</v>
      </c>
      <c r="R150" s="50"/>
      <c r="S150" s="50"/>
      <c r="T150" s="47"/>
      <c r="U150" s="42">
        <f t="shared" ref="U150:U152" si="88">SUM(J150*L150)</f>
        <v>8.0250000000000004</v>
      </c>
      <c r="V150" s="42">
        <f t="shared" ref="V150:V152" si="89">SUM(J150*O150)</f>
        <v>8.4262500000000014</v>
      </c>
      <c r="W150" s="3"/>
      <c r="X150" s="3"/>
      <c r="Y150" s="3"/>
      <c r="Z150" s="3"/>
      <c r="AA150" s="3"/>
      <c r="AB150" s="3"/>
      <c r="AC150" s="3"/>
      <c r="AD150" s="3"/>
      <c r="AE150" s="3"/>
      <c r="AF150" s="3"/>
    </row>
    <row r="151" spans="1:32" customFormat="1" ht="63" customHeight="1" x14ac:dyDescent="0.25">
      <c r="A151" s="16" t="s">
        <v>411</v>
      </c>
      <c r="B151" s="40" t="s">
        <v>194</v>
      </c>
      <c r="C151" s="19"/>
      <c r="D151" s="17"/>
      <c r="E151" s="17"/>
      <c r="F151" s="17"/>
      <c r="G151" s="17"/>
      <c r="H151" s="78" t="s">
        <v>197</v>
      </c>
      <c r="I151" s="78" t="s">
        <v>185</v>
      </c>
      <c r="J151" s="78">
        <v>0.1</v>
      </c>
      <c r="K151" s="78" t="s">
        <v>198</v>
      </c>
      <c r="L151" s="79">
        <v>183.2</v>
      </c>
      <c r="M151" s="78">
        <v>5</v>
      </c>
      <c r="N151" s="80">
        <f t="shared" ref="N151:N152" si="90">SUM(O151-L151)</f>
        <v>9.1599999999999966</v>
      </c>
      <c r="O151" s="79">
        <f t="shared" ref="O151:O152" si="91">SUM(L151*1.05)</f>
        <v>192.35999999999999</v>
      </c>
      <c r="P151" s="78" t="s">
        <v>186</v>
      </c>
      <c r="Q151" s="75" t="s">
        <v>407</v>
      </c>
      <c r="R151" s="50"/>
      <c r="S151" s="50"/>
      <c r="T151" s="47"/>
      <c r="U151" s="42">
        <f t="shared" si="88"/>
        <v>18.32</v>
      </c>
      <c r="V151" s="42">
        <f t="shared" si="89"/>
        <v>19.236000000000001</v>
      </c>
      <c r="W151" s="3"/>
      <c r="X151" s="3"/>
      <c r="Y151" s="3"/>
      <c r="Z151" s="3"/>
      <c r="AA151" s="3"/>
      <c r="AB151" s="3"/>
      <c r="AC151" s="3"/>
      <c r="AD151" s="3"/>
      <c r="AE151" s="3"/>
      <c r="AF151" s="3"/>
    </row>
    <row r="152" spans="1:32" customFormat="1" ht="41.4" x14ac:dyDescent="0.25">
      <c r="A152" s="16" t="s">
        <v>412</v>
      </c>
      <c r="B152" s="40" t="s">
        <v>195</v>
      </c>
      <c r="C152" s="19"/>
      <c r="D152" s="17"/>
      <c r="E152" s="17"/>
      <c r="F152" s="17"/>
      <c r="G152" s="17"/>
      <c r="H152" s="78" t="s">
        <v>197</v>
      </c>
      <c r="I152" s="78" t="s">
        <v>185</v>
      </c>
      <c r="J152" s="78">
        <v>0.1</v>
      </c>
      <c r="K152" s="78" t="s">
        <v>198</v>
      </c>
      <c r="L152" s="79">
        <v>183.2</v>
      </c>
      <c r="M152" s="78">
        <v>5</v>
      </c>
      <c r="N152" s="80">
        <f t="shared" si="90"/>
        <v>9.1599999999999966</v>
      </c>
      <c r="O152" s="79">
        <f t="shared" si="91"/>
        <v>192.35999999999999</v>
      </c>
      <c r="P152" s="78" t="s">
        <v>186</v>
      </c>
      <c r="Q152" s="75" t="s">
        <v>408</v>
      </c>
      <c r="R152" s="3"/>
      <c r="S152" s="3"/>
      <c r="T152" s="3"/>
      <c r="U152" s="42">
        <f t="shared" si="88"/>
        <v>18.32</v>
      </c>
      <c r="V152" s="42">
        <f t="shared" si="89"/>
        <v>19.236000000000001</v>
      </c>
      <c r="W152" s="3"/>
      <c r="X152" s="3"/>
      <c r="Y152" s="3"/>
      <c r="Z152" s="3"/>
      <c r="AA152" s="3"/>
      <c r="AB152" s="3"/>
      <c r="AC152" s="3"/>
      <c r="AD152" s="3"/>
      <c r="AE152" s="3"/>
      <c r="AF152" s="3"/>
    </row>
    <row r="153" spans="1:32" customFormat="1" ht="13.8" x14ac:dyDescent="0.25">
      <c r="A153" s="16"/>
      <c r="B153" s="40"/>
      <c r="C153" s="19"/>
      <c r="D153" s="17"/>
      <c r="E153" s="17"/>
      <c r="F153" s="17"/>
      <c r="G153" s="17"/>
      <c r="H153" s="17"/>
      <c r="I153" s="17"/>
      <c r="J153" s="17"/>
      <c r="K153" s="17"/>
      <c r="L153" s="17"/>
      <c r="M153" s="17"/>
      <c r="N153" s="17"/>
      <c r="O153" s="17"/>
      <c r="P153" s="17"/>
      <c r="Q153" s="17"/>
      <c r="R153" s="3"/>
      <c r="S153" s="3"/>
      <c r="T153" s="53" t="s">
        <v>596</v>
      </c>
      <c r="U153" s="44">
        <f>SUM(U149:U152)</f>
        <v>368.86499999999995</v>
      </c>
      <c r="V153" s="44">
        <f>SUM(V149:V152)</f>
        <v>387.30824999999999</v>
      </c>
      <c r="W153" s="3"/>
      <c r="X153" s="3"/>
      <c r="Y153" s="3"/>
      <c r="Z153" s="3"/>
      <c r="AA153" s="3"/>
      <c r="AB153" s="3"/>
      <c r="AC153" s="3"/>
      <c r="AD153" s="3"/>
      <c r="AE153" s="3"/>
      <c r="AF153" s="3"/>
    </row>
    <row r="154" spans="1:32" customFormat="1" ht="46.2" customHeight="1" x14ac:dyDescent="0.25">
      <c r="A154" s="15" t="s">
        <v>105</v>
      </c>
      <c r="B154" s="25" t="s">
        <v>116</v>
      </c>
      <c r="C154" s="27">
        <v>700</v>
      </c>
      <c r="D154" s="18">
        <f>SUM(E154/C154)</f>
        <v>0.20514936686535842</v>
      </c>
      <c r="E154" s="37">
        <f>SUM(U159+(W223*C154)+(W233*C154))</f>
        <v>143.60455680575089</v>
      </c>
      <c r="F154" s="56" t="s">
        <v>593</v>
      </c>
      <c r="G154" s="37">
        <f>SUM(V159+(X223*C154)+(X233*C154))</f>
        <v>151.91042612751991</v>
      </c>
      <c r="H154" s="17"/>
      <c r="I154" s="17"/>
      <c r="J154" s="17"/>
      <c r="K154" s="17"/>
      <c r="L154" s="17"/>
      <c r="M154" s="17"/>
      <c r="N154" s="17"/>
      <c r="O154" s="17"/>
      <c r="P154" s="17"/>
      <c r="Q154" s="17"/>
      <c r="R154" s="3"/>
      <c r="S154" s="3"/>
      <c r="T154" s="3"/>
      <c r="U154" s="3"/>
      <c r="V154" s="3"/>
      <c r="W154" s="3"/>
      <c r="X154" s="3"/>
      <c r="Y154" s="3"/>
      <c r="Z154" s="3"/>
      <c r="AA154" s="3"/>
      <c r="AB154" s="3"/>
      <c r="AC154" s="3"/>
      <c r="AD154" s="3"/>
      <c r="AE154" s="3"/>
      <c r="AF154" s="3"/>
    </row>
    <row r="155" spans="1:32" customFormat="1" ht="60.6" customHeight="1" x14ac:dyDescent="0.25">
      <c r="A155" s="16" t="s">
        <v>106</v>
      </c>
      <c r="B155" s="59" t="s">
        <v>533</v>
      </c>
      <c r="C155" s="19"/>
      <c r="D155" s="17"/>
      <c r="E155" s="17"/>
      <c r="F155" s="17"/>
      <c r="G155" s="17"/>
      <c r="H155" s="75" t="s">
        <v>533</v>
      </c>
      <c r="I155" s="78" t="s">
        <v>185</v>
      </c>
      <c r="J155" s="78">
        <v>1</v>
      </c>
      <c r="K155" s="78" t="s">
        <v>414</v>
      </c>
      <c r="L155" s="79">
        <v>90</v>
      </c>
      <c r="M155" s="78">
        <v>5</v>
      </c>
      <c r="N155" s="79">
        <f>SUM(O155-L155)</f>
        <v>4.5</v>
      </c>
      <c r="O155" s="79">
        <f>SUM(L155*1.05)</f>
        <v>94.5</v>
      </c>
      <c r="P155" s="78" t="s">
        <v>418</v>
      </c>
      <c r="Q155" s="75" t="s">
        <v>413</v>
      </c>
      <c r="R155" s="41">
        <f>SUM(4*500)</f>
        <v>2000</v>
      </c>
      <c r="S155" s="41">
        <f>SUM(700+480)</f>
        <v>1180</v>
      </c>
      <c r="T155" s="42">
        <f>SUM(((120/60)/4)*2)</f>
        <v>1</v>
      </c>
      <c r="U155" s="42">
        <f>SUM(J155*L155)</f>
        <v>90</v>
      </c>
      <c r="V155" s="42">
        <f>SUM(J155*O155)</f>
        <v>94.5</v>
      </c>
      <c r="W155" s="3"/>
      <c r="X155" s="3"/>
      <c r="Y155" s="3"/>
      <c r="Z155" s="3"/>
      <c r="AA155" s="3"/>
      <c r="AB155" s="3"/>
      <c r="AC155" s="3"/>
      <c r="AD155" s="3"/>
      <c r="AE155" s="3"/>
      <c r="AF155" s="3"/>
    </row>
    <row r="156" spans="1:32" customFormat="1" ht="60.6" customHeight="1" x14ac:dyDescent="0.25">
      <c r="A156" s="16" t="s">
        <v>419</v>
      </c>
      <c r="B156" s="40" t="s">
        <v>193</v>
      </c>
      <c r="C156" s="19"/>
      <c r="D156" s="17"/>
      <c r="E156" s="17"/>
      <c r="F156" s="17"/>
      <c r="G156" s="17"/>
      <c r="H156" s="78" t="s">
        <v>196</v>
      </c>
      <c r="I156" s="78" t="s">
        <v>185</v>
      </c>
      <c r="J156" s="78">
        <v>0.05</v>
      </c>
      <c r="K156" s="78" t="s">
        <v>281</v>
      </c>
      <c r="L156" s="79">
        <v>160.5</v>
      </c>
      <c r="M156" s="78">
        <v>5</v>
      </c>
      <c r="N156" s="80">
        <f>SUM(O156-L156)</f>
        <v>8.0250000000000057</v>
      </c>
      <c r="O156" s="79">
        <f>SUM(L156*1.05)</f>
        <v>168.52500000000001</v>
      </c>
      <c r="P156" s="78" t="s">
        <v>186</v>
      </c>
      <c r="Q156" s="75" t="s">
        <v>415</v>
      </c>
      <c r="R156" s="3"/>
      <c r="S156" s="3"/>
      <c r="T156" s="3"/>
      <c r="U156" s="42">
        <f t="shared" ref="U156:U158" si="92">SUM(J156*L156)</f>
        <v>8.0250000000000004</v>
      </c>
      <c r="V156" s="42">
        <f t="shared" ref="V156:V158" si="93">SUM(J156*O156)</f>
        <v>8.4262500000000014</v>
      </c>
      <c r="W156" s="3"/>
      <c r="X156" s="3"/>
      <c r="Y156" s="3"/>
      <c r="Z156" s="3"/>
      <c r="AA156" s="3"/>
      <c r="AB156" s="3"/>
      <c r="AC156" s="3"/>
      <c r="AD156" s="3"/>
      <c r="AE156" s="3"/>
      <c r="AF156" s="3"/>
    </row>
    <row r="157" spans="1:32" customFormat="1" ht="60.6" customHeight="1" x14ac:dyDescent="0.25">
      <c r="A157" s="16" t="s">
        <v>420</v>
      </c>
      <c r="B157" s="40" t="s">
        <v>194</v>
      </c>
      <c r="C157" s="19"/>
      <c r="D157" s="17"/>
      <c r="E157" s="17"/>
      <c r="F157" s="17"/>
      <c r="G157" s="17"/>
      <c r="H157" s="78" t="s">
        <v>197</v>
      </c>
      <c r="I157" s="78" t="s">
        <v>185</v>
      </c>
      <c r="J157" s="78">
        <v>0.1</v>
      </c>
      <c r="K157" s="78" t="s">
        <v>198</v>
      </c>
      <c r="L157" s="79">
        <v>183.2</v>
      </c>
      <c r="M157" s="78">
        <v>5</v>
      </c>
      <c r="N157" s="80">
        <f t="shared" ref="N157:N158" si="94">SUM(O157-L157)</f>
        <v>9.1599999999999966</v>
      </c>
      <c r="O157" s="79">
        <f t="shared" ref="O157:O158" si="95">SUM(L157*1.05)</f>
        <v>192.35999999999999</v>
      </c>
      <c r="P157" s="78" t="s">
        <v>186</v>
      </c>
      <c r="Q157" s="75" t="s">
        <v>416</v>
      </c>
      <c r="R157" s="3"/>
      <c r="S157" s="3"/>
      <c r="T157" s="3"/>
      <c r="U157" s="42">
        <f t="shared" si="92"/>
        <v>18.32</v>
      </c>
      <c r="V157" s="42">
        <f t="shared" si="93"/>
        <v>19.236000000000001</v>
      </c>
      <c r="W157" s="3"/>
      <c r="X157" s="3"/>
      <c r="Y157" s="3"/>
      <c r="Z157" s="3"/>
      <c r="AA157" s="3"/>
      <c r="AB157" s="3"/>
      <c r="AC157" s="3"/>
      <c r="AD157" s="3"/>
      <c r="AE157" s="3"/>
      <c r="AF157" s="3"/>
    </row>
    <row r="158" spans="1:32" customFormat="1" ht="41.4" x14ac:dyDescent="0.25">
      <c r="A158" s="16" t="s">
        <v>421</v>
      </c>
      <c r="B158" s="40" t="s">
        <v>195</v>
      </c>
      <c r="C158" s="19"/>
      <c r="D158" s="17"/>
      <c r="E158" s="17"/>
      <c r="F158" s="17"/>
      <c r="G158" s="17"/>
      <c r="H158" s="78" t="s">
        <v>197</v>
      </c>
      <c r="I158" s="78" t="s">
        <v>185</v>
      </c>
      <c r="J158" s="78">
        <v>0.1</v>
      </c>
      <c r="K158" s="78" t="s">
        <v>198</v>
      </c>
      <c r="L158" s="79">
        <v>183.2</v>
      </c>
      <c r="M158" s="78">
        <v>5</v>
      </c>
      <c r="N158" s="80">
        <f t="shared" si="94"/>
        <v>9.1599999999999966</v>
      </c>
      <c r="O158" s="79">
        <f t="shared" si="95"/>
        <v>192.35999999999999</v>
      </c>
      <c r="P158" s="78" t="s">
        <v>186</v>
      </c>
      <c r="Q158" s="75" t="s">
        <v>417</v>
      </c>
      <c r="R158" s="3"/>
      <c r="S158" s="3"/>
      <c r="T158" s="3"/>
      <c r="U158" s="42">
        <f t="shared" si="92"/>
        <v>18.32</v>
      </c>
      <c r="V158" s="42">
        <f t="shared" si="93"/>
        <v>19.236000000000001</v>
      </c>
      <c r="W158" s="3"/>
      <c r="X158" s="3"/>
      <c r="Y158" s="3"/>
      <c r="Z158" s="3"/>
      <c r="AA158" s="3"/>
      <c r="AB158" s="3"/>
      <c r="AC158" s="3"/>
      <c r="AD158" s="3"/>
      <c r="AE158" s="3"/>
      <c r="AF158" s="3"/>
    </row>
    <row r="159" spans="1:32" customFormat="1" ht="13.8" x14ac:dyDescent="0.25">
      <c r="A159" s="16"/>
      <c r="B159" s="40"/>
      <c r="C159" s="19"/>
      <c r="D159" s="17"/>
      <c r="E159" s="17"/>
      <c r="F159" s="17"/>
      <c r="G159" s="17"/>
      <c r="H159" s="17"/>
      <c r="I159" s="17"/>
      <c r="J159" s="17"/>
      <c r="K159" s="17"/>
      <c r="L159" s="17"/>
      <c r="M159" s="17"/>
      <c r="N159" s="17"/>
      <c r="O159" s="17"/>
      <c r="P159" s="17"/>
      <c r="Q159" s="17"/>
      <c r="R159" s="3"/>
      <c r="S159" s="3"/>
      <c r="T159" s="53" t="s">
        <v>596</v>
      </c>
      <c r="U159" s="44">
        <f>SUM(U155:U158)</f>
        <v>134.66499999999999</v>
      </c>
      <c r="V159" s="44">
        <f>SUM(V155:V158)</f>
        <v>141.39824999999999</v>
      </c>
      <c r="W159" s="3"/>
      <c r="X159" s="3"/>
      <c r="Y159" s="3"/>
      <c r="Z159" s="3"/>
      <c r="AA159" s="3"/>
      <c r="AB159" s="3"/>
      <c r="AC159" s="3"/>
      <c r="AD159" s="3"/>
      <c r="AE159" s="3"/>
      <c r="AF159" s="3"/>
    </row>
    <row r="160" spans="1:32" customFormat="1" ht="46.2" customHeight="1" x14ac:dyDescent="0.25">
      <c r="A160" s="15" t="s">
        <v>108</v>
      </c>
      <c r="B160" s="25" t="s">
        <v>119</v>
      </c>
      <c r="C160" s="27">
        <v>1300</v>
      </c>
      <c r="D160" s="18">
        <f>SUM(E160/C160)</f>
        <v>0.12405156466755622</v>
      </c>
      <c r="E160" s="37">
        <f>SUM(U165+(W223*C160)+(W233*C160))</f>
        <v>161.26703406782309</v>
      </c>
      <c r="F160" s="56" t="s">
        <v>593</v>
      </c>
      <c r="G160" s="37">
        <f>SUM(V165+(X223*C160)+(X233*C160))</f>
        <v>171.42086280825129</v>
      </c>
      <c r="H160" s="17"/>
      <c r="I160" s="17"/>
      <c r="J160" s="17"/>
      <c r="K160" s="17"/>
      <c r="L160" s="17"/>
      <c r="M160" s="17"/>
      <c r="N160" s="17"/>
      <c r="O160" s="17"/>
      <c r="P160" s="17"/>
      <c r="Q160" s="17"/>
      <c r="R160" s="3"/>
      <c r="S160" s="3"/>
      <c r="T160" s="3"/>
      <c r="U160" s="3"/>
      <c r="V160" s="3"/>
      <c r="W160" s="3"/>
      <c r="X160" s="3"/>
      <c r="Y160" s="3"/>
      <c r="Z160" s="3"/>
      <c r="AA160" s="3"/>
      <c r="AB160" s="3"/>
      <c r="AC160" s="3"/>
      <c r="AD160" s="3"/>
      <c r="AE160" s="3"/>
      <c r="AF160" s="3"/>
    </row>
    <row r="161" spans="1:32" customFormat="1" ht="64.95" customHeight="1" x14ac:dyDescent="0.25">
      <c r="A161" s="16" t="s">
        <v>109</v>
      </c>
      <c r="B161" s="59" t="s">
        <v>422</v>
      </c>
      <c r="C161" s="19"/>
      <c r="D161" s="17"/>
      <c r="E161" s="17"/>
      <c r="F161" s="17"/>
      <c r="G161" s="17"/>
      <c r="H161" s="75" t="s">
        <v>422</v>
      </c>
      <c r="I161" s="78" t="s">
        <v>185</v>
      </c>
      <c r="J161" s="78">
        <v>2</v>
      </c>
      <c r="K161" s="78" t="s">
        <v>423</v>
      </c>
      <c r="L161" s="79">
        <v>50</v>
      </c>
      <c r="M161" s="78">
        <v>5</v>
      </c>
      <c r="N161" s="79">
        <f>SUM(O161-L161)</f>
        <v>2.5</v>
      </c>
      <c r="O161" s="79">
        <f>SUM(L161*1.05)</f>
        <v>52.5</v>
      </c>
      <c r="P161" s="78" t="s">
        <v>237</v>
      </c>
      <c r="Q161" s="75" t="s">
        <v>424</v>
      </c>
      <c r="R161" s="41">
        <f>SUM(4*1570)</f>
        <v>6280</v>
      </c>
      <c r="S161" s="41">
        <f>SUM(1300+480)</f>
        <v>1780</v>
      </c>
      <c r="T161" s="41">
        <f>SUM(((120/30)/4)*2)</f>
        <v>2</v>
      </c>
      <c r="U161" s="42">
        <f>SUM(J161*L161)</f>
        <v>100</v>
      </c>
      <c r="V161" s="42">
        <f>SUM(J161*O161)</f>
        <v>105</v>
      </c>
      <c r="W161" s="3"/>
      <c r="X161" s="3"/>
      <c r="Y161" s="3"/>
      <c r="Z161" s="3"/>
      <c r="AA161" s="3"/>
      <c r="AB161" s="3"/>
      <c r="AC161" s="3"/>
      <c r="AD161" s="3"/>
      <c r="AE161" s="3"/>
      <c r="AF161" s="3"/>
    </row>
    <row r="162" spans="1:32" customFormat="1" ht="64.95" customHeight="1" x14ac:dyDescent="0.25">
      <c r="A162" s="16" t="s">
        <v>425</v>
      </c>
      <c r="B162" s="40" t="s">
        <v>193</v>
      </c>
      <c r="C162" s="19"/>
      <c r="D162" s="17"/>
      <c r="E162" s="17"/>
      <c r="F162" s="17"/>
      <c r="G162" s="17"/>
      <c r="H162" s="78" t="s">
        <v>196</v>
      </c>
      <c r="I162" s="78" t="s">
        <v>185</v>
      </c>
      <c r="J162" s="78">
        <v>0.05</v>
      </c>
      <c r="K162" s="78" t="s">
        <v>281</v>
      </c>
      <c r="L162" s="79">
        <v>160.5</v>
      </c>
      <c r="M162" s="78">
        <v>5</v>
      </c>
      <c r="N162" s="80">
        <f>SUM(O162-L162)</f>
        <v>8.0250000000000057</v>
      </c>
      <c r="O162" s="79">
        <f>SUM(L162*1.05)</f>
        <v>168.52500000000001</v>
      </c>
      <c r="P162" s="78" t="s">
        <v>186</v>
      </c>
      <c r="Q162" s="75" t="s">
        <v>396</v>
      </c>
      <c r="R162" s="3"/>
      <c r="S162" s="3"/>
      <c r="T162" s="3"/>
      <c r="U162" s="42">
        <f t="shared" ref="U162:U164" si="96">SUM(J162*L162)</f>
        <v>8.0250000000000004</v>
      </c>
      <c r="V162" s="42">
        <f t="shared" ref="V162:V164" si="97">SUM(J162*O162)</f>
        <v>8.4262500000000014</v>
      </c>
      <c r="W162" s="3"/>
      <c r="X162" s="3"/>
      <c r="Y162" s="3"/>
      <c r="Z162" s="3"/>
      <c r="AA162" s="3"/>
      <c r="AB162" s="3"/>
      <c r="AC162" s="3"/>
      <c r="AD162" s="3"/>
      <c r="AE162" s="3"/>
      <c r="AF162" s="3"/>
    </row>
    <row r="163" spans="1:32" customFormat="1" ht="64.95" customHeight="1" x14ac:dyDescent="0.25">
      <c r="A163" s="16" t="s">
        <v>426</v>
      </c>
      <c r="B163" s="40" t="s">
        <v>194</v>
      </c>
      <c r="C163" s="19"/>
      <c r="D163" s="17"/>
      <c r="E163" s="17"/>
      <c r="F163" s="17"/>
      <c r="G163" s="17"/>
      <c r="H163" s="78" t="s">
        <v>197</v>
      </c>
      <c r="I163" s="78" t="s">
        <v>185</v>
      </c>
      <c r="J163" s="78">
        <v>0.1</v>
      </c>
      <c r="K163" s="78" t="s">
        <v>198</v>
      </c>
      <c r="L163" s="79">
        <v>183.2</v>
      </c>
      <c r="M163" s="78">
        <v>5</v>
      </c>
      <c r="N163" s="80">
        <f t="shared" ref="N163:N164" si="98">SUM(O163-L163)</f>
        <v>9.1599999999999966</v>
      </c>
      <c r="O163" s="79">
        <f t="shared" ref="O163:O164" si="99">SUM(L163*1.05)</f>
        <v>192.35999999999999</v>
      </c>
      <c r="P163" s="78" t="s">
        <v>186</v>
      </c>
      <c r="Q163" s="75" t="s">
        <v>397</v>
      </c>
      <c r="R163" s="3"/>
      <c r="S163" s="3"/>
      <c r="T163" s="3"/>
      <c r="U163" s="42">
        <f t="shared" si="96"/>
        <v>18.32</v>
      </c>
      <c r="V163" s="42">
        <f t="shared" si="97"/>
        <v>19.236000000000001</v>
      </c>
      <c r="W163" s="3"/>
      <c r="X163" s="3"/>
      <c r="Y163" s="3"/>
      <c r="Z163" s="3"/>
      <c r="AA163" s="3"/>
      <c r="AB163" s="3"/>
      <c r="AC163" s="3"/>
      <c r="AD163" s="3"/>
      <c r="AE163" s="3"/>
      <c r="AF163" s="3"/>
    </row>
    <row r="164" spans="1:32" customFormat="1" ht="41.4" x14ac:dyDescent="0.25">
      <c r="A164" s="16" t="s">
        <v>427</v>
      </c>
      <c r="B164" s="40" t="s">
        <v>195</v>
      </c>
      <c r="C164" s="19"/>
      <c r="D164" s="17"/>
      <c r="E164" s="17"/>
      <c r="F164" s="17"/>
      <c r="G164" s="17"/>
      <c r="H164" s="78" t="s">
        <v>197</v>
      </c>
      <c r="I164" s="78" t="s">
        <v>185</v>
      </c>
      <c r="J164" s="78">
        <v>0.1</v>
      </c>
      <c r="K164" s="78" t="s">
        <v>198</v>
      </c>
      <c r="L164" s="79">
        <v>183.2</v>
      </c>
      <c r="M164" s="78">
        <v>5</v>
      </c>
      <c r="N164" s="80">
        <f t="shared" si="98"/>
        <v>9.1599999999999966</v>
      </c>
      <c r="O164" s="79">
        <f t="shared" si="99"/>
        <v>192.35999999999999</v>
      </c>
      <c r="P164" s="78" t="s">
        <v>186</v>
      </c>
      <c r="Q164" s="75" t="s">
        <v>398</v>
      </c>
      <c r="R164" s="3"/>
      <c r="S164" s="3"/>
      <c r="T164" s="3"/>
      <c r="U164" s="42">
        <f t="shared" si="96"/>
        <v>18.32</v>
      </c>
      <c r="V164" s="42">
        <f t="shared" si="97"/>
        <v>19.236000000000001</v>
      </c>
      <c r="W164" s="3"/>
      <c r="X164" s="3"/>
      <c r="Y164" s="3"/>
      <c r="Z164" s="3"/>
      <c r="AA164" s="3"/>
      <c r="AB164" s="3"/>
      <c r="AC164" s="3"/>
      <c r="AD164" s="3"/>
      <c r="AE164" s="3"/>
      <c r="AF164" s="3"/>
    </row>
    <row r="165" spans="1:32" customFormat="1" ht="13.8" x14ac:dyDescent="0.25">
      <c r="A165" s="16"/>
      <c r="B165" s="40"/>
      <c r="C165" s="19"/>
      <c r="D165" s="17"/>
      <c r="E165" s="17"/>
      <c r="F165" s="17"/>
      <c r="G165" s="17"/>
      <c r="H165" s="17"/>
      <c r="I165" s="17"/>
      <c r="J165" s="17"/>
      <c r="K165" s="17"/>
      <c r="L165" s="17"/>
      <c r="M165" s="17"/>
      <c r="N165" s="17"/>
      <c r="O165" s="17"/>
      <c r="P165" s="17"/>
      <c r="Q165" s="17"/>
      <c r="R165" s="3"/>
      <c r="S165" s="3"/>
      <c r="T165" s="53" t="s">
        <v>596</v>
      </c>
      <c r="U165" s="44">
        <f>SUM(U161:U164)</f>
        <v>144.66499999999999</v>
      </c>
      <c r="V165" s="44">
        <f>SUM(V161:V164)</f>
        <v>151.89824999999999</v>
      </c>
      <c r="W165" s="3"/>
      <c r="X165" s="3"/>
      <c r="Y165" s="3"/>
      <c r="Z165" s="3"/>
      <c r="AA165" s="3"/>
      <c r="AB165" s="3"/>
      <c r="AC165" s="3"/>
      <c r="AD165" s="3"/>
      <c r="AE165" s="3"/>
      <c r="AF165" s="3"/>
    </row>
    <row r="166" spans="1:32" customFormat="1" ht="46.2" customHeight="1" x14ac:dyDescent="0.25">
      <c r="A166" s="15" t="s">
        <v>111</v>
      </c>
      <c r="B166" s="25" t="s">
        <v>122</v>
      </c>
      <c r="C166" s="27">
        <v>300</v>
      </c>
      <c r="D166" s="18">
        <f>SUM(E166/C166)</f>
        <v>6.1297707954367864</v>
      </c>
      <c r="E166" s="83">
        <f>SUM(U172+(W223*C166)+(W233*C166))</f>
        <v>1838.931238631036</v>
      </c>
      <c r="F166" s="56" t="s">
        <v>593</v>
      </c>
      <c r="G166" s="83">
        <f>SUM(V172+(X223*C166)+(X233*C166))</f>
        <v>1931.3602183403659</v>
      </c>
      <c r="H166" s="17"/>
      <c r="I166" s="17"/>
      <c r="J166" s="17"/>
      <c r="K166" s="17"/>
      <c r="L166" s="17"/>
      <c r="M166" s="17"/>
      <c r="N166" s="17"/>
      <c r="O166" s="17"/>
      <c r="P166" s="17"/>
      <c r="Q166" s="17"/>
      <c r="R166" s="3"/>
      <c r="S166" s="3"/>
      <c r="T166" s="3"/>
      <c r="U166" s="3"/>
      <c r="V166" s="3"/>
      <c r="W166" s="3"/>
      <c r="X166" s="3"/>
      <c r="Y166" s="3"/>
      <c r="Z166" s="3"/>
      <c r="AA166" s="3"/>
      <c r="AB166" s="3"/>
      <c r="AC166" s="3"/>
      <c r="AD166" s="3"/>
      <c r="AE166" s="3"/>
      <c r="AF166" s="3"/>
    </row>
    <row r="167" spans="1:32" customFormat="1" ht="63" customHeight="1" x14ac:dyDescent="0.25">
      <c r="A167" s="16" t="s">
        <v>112</v>
      </c>
      <c r="B167" s="60" t="s">
        <v>428</v>
      </c>
      <c r="C167" s="19"/>
      <c r="D167" s="17"/>
      <c r="E167" s="17"/>
      <c r="F167" s="17"/>
      <c r="G167" s="17"/>
      <c r="H167" s="84" t="s">
        <v>428</v>
      </c>
      <c r="I167" s="18" t="s">
        <v>185</v>
      </c>
      <c r="J167" s="18">
        <v>2</v>
      </c>
      <c r="K167" s="18" t="s">
        <v>378</v>
      </c>
      <c r="L167" s="37">
        <v>702.3</v>
      </c>
      <c r="M167" s="18">
        <v>5</v>
      </c>
      <c r="N167" s="37">
        <f>SUM(O167-L167)</f>
        <v>35.115000000000009</v>
      </c>
      <c r="O167" s="37">
        <f>SUM(L167*1.05)</f>
        <v>737.41499999999996</v>
      </c>
      <c r="P167" s="18" t="s">
        <v>237</v>
      </c>
      <c r="Q167" s="39" t="s">
        <v>429</v>
      </c>
      <c r="R167" s="41">
        <f>SUM(4*250)</f>
        <v>1000</v>
      </c>
      <c r="S167" s="41">
        <f>SUM(300+720)</f>
        <v>1020</v>
      </c>
      <c r="T167" s="41">
        <f>SUM(S167/R167)</f>
        <v>1.02</v>
      </c>
      <c r="U167" s="42">
        <f>SUM(J167*L167)</f>
        <v>1404.6</v>
      </c>
      <c r="V167" s="42">
        <f>SUM(J167*O167)</f>
        <v>1474.83</v>
      </c>
      <c r="W167" s="3"/>
      <c r="X167" s="3"/>
      <c r="Y167" s="3"/>
      <c r="Z167" s="3"/>
      <c r="AA167" s="3"/>
      <c r="AB167" s="3"/>
      <c r="AC167" s="3"/>
      <c r="AD167" s="3"/>
      <c r="AE167" s="3"/>
      <c r="AF167" s="3"/>
    </row>
    <row r="168" spans="1:32" customFormat="1" ht="63" customHeight="1" x14ac:dyDescent="0.25">
      <c r="A168" s="16" t="s">
        <v>410</v>
      </c>
      <c r="B168" s="51" t="s">
        <v>348</v>
      </c>
      <c r="C168" s="19"/>
      <c r="D168" s="17"/>
      <c r="E168" s="17"/>
      <c r="F168" s="17"/>
      <c r="G168" s="17"/>
      <c r="H168" s="39" t="s">
        <v>326</v>
      </c>
      <c r="I168" s="18" t="s">
        <v>185</v>
      </c>
      <c r="J168" s="18">
        <v>1</v>
      </c>
      <c r="K168" s="18" t="s">
        <v>335</v>
      </c>
      <c r="L168" s="37">
        <v>234</v>
      </c>
      <c r="M168" s="18">
        <v>5</v>
      </c>
      <c r="N168" s="18">
        <f t="shared" ref="N168:N171" si="100">SUM(O168-L168)</f>
        <v>11.700000000000017</v>
      </c>
      <c r="O168" s="37">
        <f>SUM(L168*1.05)</f>
        <v>245.70000000000002</v>
      </c>
      <c r="P168" s="18" t="s">
        <v>186</v>
      </c>
      <c r="Q168" s="39" t="s">
        <v>430</v>
      </c>
      <c r="R168" s="3"/>
      <c r="S168" s="3"/>
      <c r="T168" s="3"/>
      <c r="U168" s="42">
        <f t="shared" ref="U168:U171" si="101">SUM(J168*L168)</f>
        <v>234</v>
      </c>
      <c r="V168" s="42">
        <f t="shared" ref="V168:V171" si="102">SUM(J168*O168)</f>
        <v>245.70000000000002</v>
      </c>
      <c r="W168" s="3"/>
      <c r="X168" s="3"/>
      <c r="Y168" s="3"/>
      <c r="Z168" s="3"/>
      <c r="AA168" s="3"/>
      <c r="AB168" s="3"/>
      <c r="AC168" s="3"/>
      <c r="AD168" s="3"/>
      <c r="AE168" s="3"/>
      <c r="AF168" s="3"/>
    </row>
    <row r="169" spans="1:32" customFormat="1" ht="63" customHeight="1" x14ac:dyDescent="0.25">
      <c r="A169" s="16" t="s">
        <v>434</v>
      </c>
      <c r="B169" s="51" t="s">
        <v>328</v>
      </c>
      <c r="C169" s="19"/>
      <c r="D169" s="17"/>
      <c r="E169" s="17"/>
      <c r="F169" s="17"/>
      <c r="G169" s="17"/>
      <c r="H169" s="39" t="s">
        <v>328</v>
      </c>
      <c r="I169" s="18" t="s">
        <v>185</v>
      </c>
      <c r="J169" s="18">
        <v>0.25</v>
      </c>
      <c r="K169" s="18" t="s">
        <v>334</v>
      </c>
      <c r="L169" s="37">
        <v>262</v>
      </c>
      <c r="M169" s="18">
        <v>5</v>
      </c>
      <c r="N169" s="18">
        <f t="shared" si="100"/>
        <v>13.100000000000023</v>
      </c>
      <c r="O169" s="37">
        <f t="shared" ref="O169:O171" si="103">SUM(L169*1.05)</f>
        <v>275.10000000000002</v>
      </c>
      <c r="P169" s="18" t="s">
        <v>186</v>
      </c>
      <c r="Q169" s="39" t="s">
        <v>431</v>
      </c>
      <c r="R169" s="3"/>
      <c r="S169" s="3"/>
      <c r="T169" s="3"/>
      <c r="U169" s="42">
        <f t="shared" si="101"/>
        <v>65.5</v>
      </c>
      <c r="V169" s="42">
        <f t="shared" si="102"/>
        <v>68.775000000000006</v>
      </c>
      <c r="W169" s="3"/>
      <c r="X169" s="3"/>
      <c r="Y169" s="3"/>
      <c r="Z169" s="3"/>
      <c r="AA169" s="3"/>
      <c r="AB169" s="3"/>
      <c r="AC169" s="3"/>
      <c r="AD169" s="3"/>
      <c r="AE169" s="3"/>
      <c r="AF169" s="3"/>
    </row>
    <row r="170" spans="1:32" customFormat="1" ht="63" customHeight="1" x14ac:dyDescent="0.25">
      <c r="A170" s="16" t="s">
        <v>369</v>
      </c>
      <c r="B170" s="51" t="s">
        <v>329</v>
      </c>
      <c r="C170" s="19"/>
      <c r="D170" s="17"/>
      <c r="E170" s="17"/>
      <c r="F170" s="17"/>
      <c r="G170" s="17"/>
      <c r="H170" s="39" t="s">
        <v>329</v>
      </c>
      <c r="I170" s="18" t="s">
        <v>185</v>
      </c>
      <c r="J170" s="18">
        <v>0.25</v>
      </c>
      <c r="K170" s="18" t="s">
        <v>334</v>
      </c>
      <c r="L170" s="37">
        <v>262</v>
      </c>
      <c r="M170" s="18">
        <v>5</v>
      </c>
      <c r="N170" s="18">
        <f t="shared" si="100"/>
        <v>13.100000000000023</v>
      </c>
      <c r="O170" s="37">
        <f t="shared" si="103"/>
        <v>275.10000000000002</v>
      </c>
      <c r="P170" s="18" t="s">
        <v>186</v>
      </c>
      <c r="Q170" s="39" t="s">
        <v>432</v>
      </c>
      <c r="R170" s="3"/>
      <c r="S170" s="3"/>
      <c r="T170" s="3"/>
      <c r="U170" s="42">
        <f t="shared" si="101"/>
        <v>65.5</v>
      </c>
      <c r="V170" s="42">
        <f t="shared" si="102"/>
        <v>68.775000000000006</v>
      </c>
      <c r="W170" s="3"/>
      <c r="X170" s="3"/>
      <c r="Y170" s="3"/>
      <c r="Z170" s="3"/>
      <c r="AA170" s="3"/>
      <c r="AB170" s="3"/>
      <c r="AC170" s="3"/>
      <c r="AD170" s="3"/>
      <c r="AE170" s="3"/>
      <c r="AF170" s="3"/>
    </row>
    <row r="171" spans="1:32" customFormat="1" ht="63" customHeight="1" x14ac:dyDescent="0.25">
      <c r="A171" s="16" t="s">
        <v>435</v>
      </c>
      <c r="B171" s="51" t="s">
        <v>330</v>
      </c>
      <c r="C171" s="19"/>
      <c r="D171" s="17"/>
      <c r="E171" s="17"/>
      <c r="F171" s="17"/>
      <c r="G171" s="17"/>
      <c r="H171" s="39" t="s">
        <v>330</v>
      </c>
      <c r="I171" s="18" t="s">
        <v>185</v>
      </c>
      <c r="J171" s="18">
        <v>0.25</v>
      </c>
      <c r="K171" s="18" t="s">
        <v>334</v>
      </c>
      <c r="L171" s="37">
        <v>262</v>
      </c>
      <c r="M171" s="18">
        <v>5</v>
      </c>
      <c r="N171" s="18">
        <f t="shared" si="100"/>
        <v>13.100000000000023</v>
      </c>
      <c r="O171" s="37">
        <f t="shared" si="103"/>
        <v>275.10000000000002</v>
      </c>
      <c r="P171" s="18" t="s">
        <v>186</v>
      </c>
      <c r="Q171" s="39" t="s">
        <v>433</v>
      </c>
      <c r="R171" s="3"/>
      <c r="S171" s="3"/>
      <c r="T171" s="3"/>
      <c r="U171" s="42">
        <f t="shared" si="101"/>
        <v>65.5</v>
      </c>
      <c r="V171" s="42">
        <f t="shared" si="102"/>
        <v>68.775000000000006</v>
      </c>
      <c r="W171" s="3"/>
      <c r="X171" s="3"/>
      <c r="Y171" s="3"/>
      <c r="Z171" s="3"/>
      <c r="AA171" s="3"/>
      <c r="AB171" s="3"/>
      <c r="AC171" s="3"/>
      <c r="AD171" s="3"/>
      <c r="AE171" s="3"/>
      <c r="AF171" s="3"/>
    </row>
    <row r="172" spans="1:32" customFormat="1" ht="13.8" x14ac:dyDescent="0.25">
      <c r="A172" s="16" t="s">
        <v>2</v>
      </c>
      <c r="B172" s="26"/>
      <c r="C172" s="19"/>
      <c r="D172" s="17"/>
      <c r="E172" s="17"/>
      <c r="F172" s="17"/>
      <c r="G172" s="17"/>
      <c r="H172" s="17"/>
      <c r="I172" s="17"/>
      <c r="J172" s="17"/>
      <c r="K172" s="17"/>
      <c r="L172" s="17"/>
      <c r="M172" s="17"/>
      <c r="N172" s="17"/>
      <c r="O172" s="17"/>
      <c r="P172" s="17"/>
      <c r="Q172" s="17"/>
      <c r="R172" s="3"/>
      <c r="S172" s="3"/>
      <c r="T172" s="53" t="s">
        <v>596</v>
      </c>
      <c r="U172" s="44">
        <f>SUM(U167:U171)</f>
        <v>1835.1</v>
      </c>
      <c r="V172" s="44">
        <f>SUM(V167:V171)</f>
        <v>1926.8550000000002</v>
      </c>
      <c r="W172" s="3"/>
      <c r="X172" s="3"/>
      <c r="Y172" s="3"/>
      <c r="Z172" s="3"/>
      <c r="AA172" s="3"/>
      <c r="AB172" s="3"/>
      <c r="AC172" s="3"/>
      <c r="AD172" s="3"/>
      <c r="AE172" s="3"/>
      <c r="AF172" s="3"/>
    </row>
    <row r="173" spans="1:32" customFormat="1" ht="46.2" customHeight="1" x14ac:dyDescent="0.25">
      <c r="A173" s="15" t="s">
        <v>114</v>
      </c>
      <c r="B173" s="25" t="s">
        <v>125</v>
      </c>
      <c r="C173" s="27">
        <v>300</v>
      </c>
      <c r="D173" s="18">
        <f>SUM(E173/C173)</f>
        <v>6.1297707954367864</v>
      </c>
      <c r="E173" s="83">
        <f>SUM(U179)+(W223*C173)+(W233*C173)</f>
        <v>1838.931238631036</v>
      </c>
      <c r="F173" s="56" t="s">
        <v>593</v>
      </c>
      <c r="G173" s="83">
        <f>SUM(V179)+(X223*C173)+(X233*C173)</f>
        <v>1931.3602183403659</v>
      </c>
      <c r="H173" s="17"/>
      <c r="I173" s="17"/>
      <c r="J173" s="17"/>
      <c r="K173" s="17"/>
      <c r="L173" s="17"/>
      <c r="M173" s="17"/>
      <c r="N173" s="17"/>
      <c r="O173" s="17"/>
      <c r="P173" s="17"/>
      <c r="Q173" s="17"/>
      <c r="R173" s="3"/>
      <c r="S173" s="52"/>
      <c r="T173" s="3"/>
      <c r="U173" s="3"/>
      <c r="V173" s="3"/>
      <c r="W173" s="3"/>
      <c r="X173" s="3"/>
      <c r="Y173" s="3"/>
      <c r="Z173" s="3"/>
      <c r="AA173" s="3"/>
      <c r="AB173" s="3"/>
      <c r="AC173" s="3"/>
      <c r="AD173" s="3"/>
      <c r="AE173" s="3"/>
      <c r="AF173" s="3"/>
    </row>
    <row r="174" spans="1:32" customFormat="1" ht="61.2" customHeight="1" x14ac:dyDescent="0.25">
      <c r="A174" s="16" t="s">
        <v>115</v>
      </c>
      <c r="B174" s="60" t="s">
        <v>436</v>
      </c>
      <c r="C174" s="19"/>
      <c r="D174" s="17"/>
      <c r="E174" s="17"/>
      <c r="F174" s="17"/>
      <c r="G174" s="17"/>
      <c r="H174" s="84" t="s">
        <v>436</v>
      </c>
      <c r="I174" s="18" t="s">
        <v>185</v>
      </c>
      <c r="J174" s="18">
        <v>2</v>
      </c>
      <c r="K174" s="18" t="s">
        <v>378</v>
      </c>
      <c r="L174" s="37">
        <v>702.3</v>
      </c>
      <c r="M174" s="18">
        <v>5</v>
      </c>
      <c r="N174" s="37">
        <f>SUM(O174-L174)</f>
        <v>35.115000000000009</v>
      </c>
      <c r="O174" s="37">
        <f>SUM(L174*1.05)</f>
        <v>737.41499999999996</v>
      </c>
      <c r="P174" s="18" t="s">
        <v>237</v>
      </c>
      <c r="Q174" s="39" t="s">
        <v>437</v>
      </c>
      <c r="R174" s="41">
        <f>SUM(4*250)</f>
        <v>1000</v>
      </c>
      <c r="S174" s="41">
        <f>SUM(300+720)</f>
        <v>1020</v>
      </c>
      <c r="T174" s="42">
        <f>SUM(S174/R174)</f>
        <v>1.02</v>
      </c>
      <c r="U174" s="42">
        <f>SUM(J174*L174)</f>
        <v>1404.6</v>
      </c>
      <c r="V174" s="42">
        <f>SUM(J174*O174)</f>
        <v>1474.83</v>
      </c>
      <c r="W174" s="3"/>
      <c r="X174" s="3"/>
      <c r="Y174" s="3"/>
      <c r="Z174" s="3"/>
      <c r="AA174" s="3"/>
      <c r="AB174" s="3"/>
      <c r="AC174" s="3"/>
      <c r="AD174" s="3"/>
      <c r="AE174" s="3"/>
      <c r="AF174" s="3"/>
    </row>
    <row r="175" spans="1:32" customFormat="1" ht="61.2" customHeight="1" x14ac:dyDescent="0.25">
      <c r="A175" s="16" t="s">
        <v>442</v>
      </c>
      <c r="B175" s="59" t="s">
        <v>348</v>
      </c>
      <c r="C175" s="19"/>
      <c r="D175" s="17"/>
      <c r="E175" s="17"/>
      <c r="F175" s="17"/>
      <c r="G175" s="17"/>
      <c r="H175" s="39" t="s">
        <v>326</v>
      </c>
      <c r="I175" s="18" t="s">
        <v>185</v>
      </c>
      <c r="J175" s="18">
        <v>1</v>
      </c>
      <c r="K175" s="18" t="s">
        <v>335</v>
      </c>
      <c r="L175" s="37">
        <v>234</v>
      </c>
      <c r="M175" s="18">
        <v>5</v>
      </c>
      <c r="N175" s="18">
        <f t="shared" ref="N175:N178" si="104">SUM(O175-L175)</f>
        <v>11.700000000000017</v>
      </c>
      <c r="O175" s="37">
        <f>SUM(L175*1.05)</f>
        <v>245.70000000000002</v>
      </c>
      <c r="P175" s="18" t="s">
        <v>186</v>
      </c>
      <c r="Q175" s="39" t="s">
        <v>438</v>
      </c>
      <c r="R175" s="3"/>
      <c r="S175" s="3"/>
      <c r="T175" s="3"/>
      <c r="U175" s="42">
        <f t="shared" ref="U175:U178" si="105">SUM(J175*L175)</f>
        <v>234</v>
      </c>
      <c r="V175" s="42">
        <f t="shared" ref="V175:V178" si="106">SUM(J175*O175)</f>
        <v>245.70000000000002</v>
      </c>
      <c r="W175" s="3"/>
      <c r="X175" s="3"/>
      <c r="Y175" s="3"/>
      <c r="Z175" s="3"/>
      <c r="AA175" s="3"/>
      <c r="AB175" s="3"/>
      <c r="AC175" s="3"/>
      <c r="AD175" s="3"/>
      <c r="AE175" s="3"/>
      <c r="AF175" s="3"/>
    </row>
    <row r="176" spans="1:32" customFormat="1" ht="61.2" customHeight="1" x14ac:dyDescent="0.25">
      <c r="A176" s="16" t="s">
        <v>443</v>
      </c>
      <c r="B176" s="59" t="s">
        <v>328</v>
      </c>
      <c r="C176" s="19"/>
      <c r="D176" s="17"/>
      <c r="E176" s="17"/>
      <c r="F176" s="17"/>
      <c r="G176" s="17"/>
      <c r="H176" s="39" t="s">
        <v>328</v>
      </c>
      <c r="I176" s="18" t="s">
        <v>185</v>
      </c>
      <c r="J176" s="18">
        <v>0.25</v>
      </c>
      <c r="K176" s="18" t="s">
        <v>334</v>
      </c>
      <c r="L176" s="37">
        <v>262</v>
      </c>
      <c r="M176" s="18">
        <v>5</v>
      </c>
      <c r="N176" s="18">
        <f t="shared" si="104"/>
        <v>13.100000000000023</v>
      </c>
      <c r="O176" s="37">
        <f t="shared" ref="O176:O178" si="107">SUM(L176*1.05)</f>
        <v>275.10000000000002</v>
      </c>
      <c r="P176" s="18" t="s">
        <v>186</v>
      </c>
      <c r="Q176" s="39" t="s">
        <v>439</v>
      </c>
      <c r="R176" s="3"/>
      <c r="S176" s="3"/>
      <c r="T176" s="3"/>
      <c r="U176" s="42">
        <f t="shared" si="105"/>
        <v>65.5</v>
      </c>
      <c r="V176" s="42">
        <f t="shared" si="106"/>
        <v>68.775000000000006</v>
      </c>
      <c r="W176" s="3"/>
      <c r="X176" s="3"/>
      <c r="Y176" s="3"/>
      <c r="Z176" s="3"/>
      <c r="AA176" s="3"/>
      <c r="AB176" s="3"/>
      <c r="AC176" s="3"/>
      <c r="AD176" s="3"/>
      <c r="AE176" s="3"/>
      <c r="AF176" s="3"/>
    </row>
    <row r="177" spans="1:32" customFormat="1" ht="61.2" customHeight="1" x14ac:dyDescent="0.25">
      <c r="A177" s="16" t="s">
        <v>444</v>
      </c>
      <c r="B177" s="59" t="s">
        <v>329</v>
      </c>
      <c r="C177" s="19"/>
      <c r="D177" s="17"/>
      <c r="E177" s="17"/>
      <c r="F177" s="17"/>
      <c r="G177" s="17"/>
      <c r="H177" s="39" t="s">
        <v>329</v>
      </c>
      <c r="I177" s="18" t="s">
        <v>185</v>
      </c>
      <c r="J177" s="18">
        <v>0.25</v>
      </c>
      <c r="K177" s="18" t="s">
        <v>334</v>
      </c>
      <c r="L177" s="37">
        <v>262</v>
      </c>
      <c r="M177" s="18">
        <v>5</v>
      </c>
      <c r="N177" s="18">
        <f t="shared" si="104"/>
        <v>13.100000000000023</v>
      </c>
      <c r="O177" s="37">
        <f t="shared" si="107"/>
        <v>275.10000000000002</v>
      </c>
      <c r="P177" s="18" t="s">
        <v>186</v>
      </c>
      <c r="Q177" s="39" t="s">
        <v>440</v>
      </c>
      <c r="R177" s="3"/>
      <c r="S177" s="3"/>
      <c r="T177" s="3"/>
      <c r="U177" s="42">
        <f t="shared" si="105"/>
        <v>65.5</v>
      </c>
      <c r="V177" s="42">
        <f t="shared" si="106"/>
        <v>68.775000000000006</v>
      </c>
      <c r="W177" s="3"/>
      <c r="X177" s="3"/>
      <c r="Y177" s="3"/>
      <c r="Z177" s="3"/>
      <c r="AA177" s="3"/>
      <c r="AB177" s="3"/>
      <c r="AC177" s="3"/>
      <c r="AD177" s="3"/>
      <c r="AE177" s="3"/>
      <c r="AF177" s="3"/>
    </row>
    <row r="178" spans="1:32" customFormat="1" ht="61.2" customHeight="1" x14ac:dyDescent="0.25">
      <c r="A178" s="16" t="s">
        <v>445</v>
      </c>
      <c r="B178" s="59" t="s">
        <v>330</v>
      </c>
      <c r="C178" s="19"/>
      <c r="D178" s="17"/>
      <c r="E178" s="17"/>
      <c r="F178" s="17"/>
      <c r="G178" s="17"/>
      <c r="H178" s="39" t="s">
        <v>330</v>
      </c>
      <c r="I178" s="18" t="s">
        <v>185</v>
      </c>
      <c r="J178" s="18">
        <v>0.25</v>
      </c>
      <c r="K178" s="18" t="s">
        <v>334</v>
      </c>
      <c r="L178" s="37">
        <v>262</v>
      </c>
      <c r="M178" s="18">
        <v>5</v>
      </c>
      <c r="N178" s="18">
        <f t="shared" si="104"/>
        <v>13.100000000000023</v>
      </c>
      <c r="O178" s="37">
        <f t="shared" si="107"/>
        <v>275.10000000000002</v>
      </c>
      <c r="P178" s="18" t="s">
        <v>186</v>
      </c>
      <c r="Q178" s="39" t="s">
        <v>441</v>
      </c>
      <c r="R178" s="3"/>
      <c r="S178" s="3"/>
      <c r="T178" s="3"/>
      <c r="U178" s="42">
        <f t="shared" si="105"/>
        <v>65.5</v>
      </c>
      <c r="V178" s="42">
        <f t="shared" si="106"/>
        <v>68.775000000000006</v>
      </c>
      <c r="W178" s="3"/>
      <c r="X178" s="3"/>
      <c r="Y178" s="3"/>
      <c r="Z178" s="3"/>
      <c r="AA178" s="3"/>
      <c r="AB178" s="3"/>
      <c r="AC178" s="3"/>
      <c r="AD178" s="3"/>
      <c r="AE178" s="3"/>
      <c r="AF178" s="3"/>
    </row>
    <row r="179" spans="1:32" customFormat="1" ht="13.8" x14ac:dyDescent="0.25">
      <c r="A179" s="16" t="s">
        <v>2</v>
      </c>
      <c r="B179" s="26"/>
      <c r="C179" s="19"/>
      <c r="D179" s="17"/>
      <c r="E179" s="17"/>
      <c r="F179" s="17"/>
      <c r="G179" s="17"/>
      <c r="H179" s="17"/>
      <c r="I179" s="17"/>
      <c r="J179" s="17"/>
      <c r="K179" s="17"/>
      <c r="L179" s="17"/>
      <c r="M179" s="17"/>
      <c r="N179" s="17"/>
      <c r="O179" s="17"/>
      <c r="P179" s="17"/>
      <c r="Q179" s="17"/>
      <c r="R179" s="3"/>
      <c r="S179" s="3"/>
      <c r="T179" s="53" t="s">
        <v>596</v>
      </c>
      <c r="U179" s="44">
        <f>SUM(U174:U178)</f>
        <v>1835.1</v>
      </c>
      <c r="V179" s="44">
        <f>SUM(V174:V178)</f>
        <v>1926.8550000000002</v>
      </c>
      <c r="W179" s="3"/>
      <c r="X179" s="3"/>
      <c r="Y179" s="3"/>
      <c r="Z179" s="3"/>
      <c r="AA179" s="3"/>
      <c r="AB179" s="3"/>
      <c r="AC179" s="3"/>
      <c r="AD179" s="3"/>
      <c r="AE179" s="3"/>
      <c r="AF179" s="3"/>
    </row>
    <row r="180" spans="1:32" customFormat="1" ht="46.2" customHeight="1" x14ac:dyDescent="0.25">
      <c r="A180" s="15" t="s">
        <v>117</v>
      </c>
      <c r="B180" s="25" t="s">
        <v>126</v>
      </c>
      <c r="C180" s="27">
        <v>10000</v>
      </c>
      <c r="D180" s="18">
        <f>SUM(E180/C180)</f>
        <v>5.7817295436786993E-2</v>
      </c>
      <c r="E180" s="83">
        <f>SUM(U185)+(W223*C180)+(W233*C180)</f>
        <v>578.17295436786992</v>
      </c>
      <c r="F180" s="56" t="s">
        <v>593</v>
      </c>
      <c r="G180" s="83">
        <f>SUM(V185+(X223*C180)+(X233*C180))</f>
        <v>623.16219467885617</v>
      </c>
      <c r="H180" s="17"/>
      <c r="I180" s="17"/>
      <c r="J180" s="17"/>
      <c r="K180" s="17"/>
      <c r="L180" s="17"/>
      <c r="M180" s="17"/>
      <c r="N180" s="17"/>
      <c r="O180" s="17"/>
      <c r="P180" s="17"/>
      <c r="Q180" s="17"/>
      <c r="R180" s="3"/>
      <c r="S180" s="3"/>
      <c r="T180" s="3"/>
      <c r="U180" s="3"/>
      <c r="V180" s="3"/>
      <c r="W180" s="3"/>
      <c r="X180" s="3"/>
      <c r="Y180" s="3"/>
      <c r="Z180" s="3"/>
      <c r="AA180" s="3"/>
      <c r="AB180" s="3"/>
      <c r="AC180" s="3"/>
      <c r="AD180" s="3"/>
      <c r="AE180" s="3"/>
      <c r="AF180" s="3"/>
    </row>
    <row r="181" spans="1:32" customFormat="1" ht="64.2" customHeight="1" x14ac:dyDescent="0.25">
      <c r="A181" s="16" t="s">
        <v>118</v>
      </c>
      <c r="B181" s="58" t="s">
        <v>446</v>
      </c>
      <c r="C181" s="19"/>
      <c r="D181" s="17"/>
      <c r="E181" s="17"/>
      <c r="F181" s="17"/>
      <c r="G181" s="17"/>
      <c r="H181" s="39" t="s">
        <v>534</v>
      </c>
      <c r="I181" s="18" t="s">
        <v>185</v>
      </c>
      <c r="J181" s="18">
        <v>2</v>
      </c>
      <c r="K181" s="18" t="s">
        <v>447</v>
      </c>
      <c r="L181" s="37">
        <v>202.9</v>
      </c>
      <c r="M181" s="18">
        <v>5</v>
      </c>
      <c r="N181" s="18">
        <f>SUM(O181-L181)</f>
        <v>10.14500000000001</v>
      </c>
      <c r="O181" s="37">
        <f>SUM(L181*1.05)</f>
        <v>213.04500000000002</v>
      </c>
      <c r="P181" s="18" t="s">
        <v>186</v>
      </c>
      <c r="Q181" s="39" t="s">
        <v>448</v>
      </c>
      <c r="R181" s="41">
        <f>SUM(R174:R180)</f>
        <v>1000</v>
      </c>
      <c r="S181" s="41">
        <f>SUM(C180+480)</f>
        <v>10480</v>
      </c>
      <c r="T181" s="42">
        <f>SUM(((120/30)/4)*2)</f>
        <v>2</v>
      </c>
      <c r="U181" s="42">
        <f>SUM(J181*L181)</f>
        <v>405.8</v>
      </c>
      <c r="V181" s="42">
        <f>SUM(J181*O181)</f>
        <v>426.09000000000003</v>
      </c>
      <c r="W181" s="3"/>
      <c r="X181" s="3"/>
      <c r="Y181" s="3"/>
      <c r="Z181" s="3"/>
      <c r="AA181" s="3"/>
      <c r="AB181" s="3"/>
      <c r="AC181" s="3"/>
      <c r="AD181" s="3"/>
      <c r="AE181" s="3"/>
      <c r="AF181" s="3"/>
    </row>
    <row r="182" spans="1:32" customFormat="1" ht="64.2" customHeight="1" x14ac:dyDescent="0.25">
      <c r="A182" s="16" t="s">
        <v>449</v>
      </c>
      <c r="B182" s="40" t="s">
        <v>193</v>
      </c>
      <c r="C182" s="19"/>
      <c r="D182" s="17"/>
      <c r="E182" s="17"/>
      <c r="F182" s="17"/>
      <c r="G182" s="17"/>
      <c r="H182" s="18" t="s">
        <v>196</v>
      </c>
      <c r="I182" s="18" t="s">
        <v>185</v>
      </c>
      <c r="J182" s="18">
        <v>0.05</v>
      </c>
      <c r="K182" s="18" t="s">
        <v>281</v>
      </c>
      <c r="L182" s="37">
        <v>160.5</v>
      </c>
      <c r="M182" s="18">
        <v>5</v>
      </c>
      <c r="N182" s="38">
        <f>SUM(O182-L182)</f>
        <v>8.0250000000000057</v>
      </c>
      <c r="O182" s="37">
        <f>SUM(L182*1.05)</f>
        <v>168.52500000000001</v>
      </c>
      <c r="P182" s="18" t="s">
        <v>186</v>
      </c>
      <c r="Q182" s="39" t="s">
        <v>453</v>
      </c>
      <c r="R182" s="3"/>
      <c r="S182" s="3"/>
      <c r="T182" s="3"/>
      <c r="U182" s="42">
        <f t="shared" ref="U182:U184" si="108">SUM(J182*L182)</f>
        <v>8.0250000000000004</v>
      </c>
      <c r="V182" s="42">
        <f t="shared" ref="V182:V184" si="109">SUM(J182*O182)</f>
        <v>8.4262500000000014</v>
      </c>
      <c r="W182" s="3"/>
      <c r="X182" s="3"/>
      <c r="Y182" s="3"/>
      <c r="Z182" s="3"/>
      <c r="AA182" s="3"/>
      <c r="AB182" s="3"/>
      <c r="AC182" s="3"/>
      <c r="AD182" s="3"/>
      <c r="AE182" s="3"/>
      <c r="AF182" s="3"/>
    </row>
    <row r="183" spans="1:32" customFormat="1" ht="64.2" customHeight="1" x14ac:dyDescent="0.25">
      <c r="A183" s="16" t="s">
        <v>450</v>
      </c>
      <c r="B183" s="40" t="s">
        <v>194</v>
      </c>
      <c r="C183" s="19"/>
      <c r="D183" s="17"/>
      <c r="E183" s="17"/>
      <c r="F183" s="17"/>
      <c r="G183" s="17"/>
      <c r="H183" s="18" t="s">
        <v>197</v>
      </c>
      <c r="I183" s="18" t="s">
        <v>185</v>
      </c>
      <c r="J183" s="18">
        <v>0.1</v>
      </c>
      <c r="K183" s="18" t="s">
        <v>198</v>
      </c>
      <c r="L183" s="37">
        <v>183.2</v>
      </c>
      <c r="M183" s="18">
        <v>5</v>
      </c>
      <c r="N183" s="38">
        <f t="shared" ref="N183:N184" si="110">SUM(O183-L183)</f>
        <v>9.1599999999999966</v>
      </c>
      <c r="O183" s="37">
        <f t="shared" ref="O183:O184" si="111">SUM(L183*1.05)</f>
        <v>192.35999999999999</v>
      </c>
      <c r="P183" s="18" t="s">
        <v>186</v>
      </c>
      <c r="Q183" s="39" t="s">
        <v>454</v>
      </c>
      <c r="R183" s="3"/>
      <c r="S183" s="3"/>
      <c r="T183" s="3"/>
      <c r="U183" s="42">
        <f t="shared" si="108"/>
        <v>18.32</v>
      </c>
      <c r="V183" s="42">
        <f t="shared" si="109"/>
        <v>19.236000000000001</v>
      </c>
      <c r="W183" s="3"/>
      <c r="X183" s="3"/>
      <c r="Y183" s="3"/>
      <c r="Z183" s="3"/>
      <c r="AA183" s="3"/>
      <c r="AB183" s="3"/>
      <c r="AC183" s="3"/>
      <c r="AD183" s="3"/>
      <c r="AE183" s="3"/>
      <c r="AF183" s="3"/>
    </row>
    <row r="184" spans="1:32" customFormat="1" ht="64.2" customHeight="1" x14ac:dyDescent="0.25">
      <c r="A184" s="16" t="s">
        <v>451</v>
      </c>
      <c r="B184" s="40" t="s">
        <v>195</v>
      </c>
      <c r="C184" s="19"/>
      <c r="D184" s="17"/>
      <c r="E184" s="17"/>
      <c r="F184" s="17"/>
      <c r="G184" s="17"/>
      <c r="H184" s="18" t="s">
        <v>197</v>
      </c>
      <c r="I184" s="18" t="s">
        <v>185</v>
      </c>
      <c r="J184" s="18">
        <v>0.1</v>
      </c>
      <c r="K184" s="18" t="s">
        <v>198</v>
      </c>
      <c r="L184" s="37">
        <v>183.2</v>
      </c>
      <c r="M184" s="18">
        <v>5</v>
      </c>
      <c r="N184" s="38">
        <f t="shared" si="110"/>
        <v>9.1599999999999966</v>
      </c>
      <c r="O184" s="37">
        <f t="shared" si="111"/>
        <v>192.35999999999999</v>
      </c>
      <c r="P184" s="18" t="s">
        <v>186</v>
      </c>
      <c r="Q184" s="39" t="s">
        <v>455</v>
      </c>
      <c r="R184" s="3"/>
      <c r="S184" s="3"/>
      <c r="T184" s="3"/>
      <c r="U184" s="42">
        <f t="shared" si="108"/>
        <v>18.32</v>
      </c>
      <c r="V184" s="42">
        <f t="shared" si="109"/>
        <v>19.236000000000001</v>
      </c>
      <c r="W184" s="3"/>
      <c r="X184" s="3"/>
      <c r="Y184" s="3"/>
      <c r="Z184" s="3"/>
      <c r="AA184" s="3"/>
      <c r="AB184" s="3"/>
      <c r="AC184" s="3"/>
      <c r="AD184" s="3"/>
      <c r="AE184" s="3"/>
      <c r="AF184" s="3"/>
    </row>
    <row r="185" spans="1:32" customFormat="1" ht="13.8" x14ac:dyDescent="0.25">
      <c r="A185" s="16" t="s">
        <v>2</v>
      </c>
      <c r="B185" s="26"/>
      <c r="C185" s="19"/>
      <c r="D185" s="17"/>
      <c r="E185" s="17"/>
      <c r="F185" s="17"/>
      <c r="G185" s="17"/>
      <c r="H185" s="17"/>
      <c r="I185" s="17"/>
      <c r="J185" s="17"/>
      <c r="K185" s="17"/>
      <c r="L185" s="17"/>
      <c r="M185" s="17"/>
      <c r="N185" s="17"/>
      <c r="O185" s="17"/>
      <c r="P185" s="17"/>
      <c r="Q185" s="17"/>
      <c r="R185" s="3"/>
      <c r="S185" s="3"/>
      <c r="T185" s="53" t="s">
        <v>596</v>
      </c>
      <c r="U185" s="44">
        <f>SUM(U181:U184)</f>
        <v>450.46499999999997</v>
      </c>
      <c r="V185" s="44">
        <f>SUM(V181:V184)</f>
        <v>472.98824999999999</v>
      </c>
      <c r="W185" s="3"/>
      <c r="X185" s="3"/>
      <c r="Y185" s="3"/>
      <c r="Z185" s="3"/>
      <c r="AA185" s="3"/>
      <c r="AB185" s="3"/>
      <c r="AC185" s="3"/>
      <c r="AD185" s="3"/>
      <c r="AE185" s="3"/>
      <c r="AF185" s="3"/>
    </row>
    <row r="186" spans="1:32" customFormat="1" ht="46.2" customHeight="1" x14ac:dyDescent="0.25">
      <c r="A186" s="15" t="s">
        <v>120</v>
      </c>
      <c r="B186" s="25" t="s">
        <v>129</v>
      </c>
      <c r="C186" s="27">
        <v>10000</v>
      </c>
      <c r="D186" s="18">
        <f>SUM(E186/C186)</f>
        <v>5.7817295436786993E-2</v>
      </c>
      <c r="E186" s="83">
        <f>SUM(U191+(W223*C186+(W233*C186)))</f>
        <v>578.17295436786992</v>
      </c>
      <c r="F186" s="56" t="s">
        <v>593</v>
      </c>
      <c r="G186" s="83">
        <f>SUM(V191+(X223*C186)+(X233*C186))</f>
        <v>623.16219467885617</v>
      </c>
      <c r="H186" s="17"/>
      <c r="I186" s="17"/>
      <c r="J186" s="17"/>
      <c r="K186" s="17"/>
      <c r="L186" s="17"/>
      <c r="M186" s="17"/>
      <c r="N186" s="17"/>
      <c r="O186" s="17"/>
      <c r="P186" s="17"/>
      <c r="Q186" s="17"/>
      <c r="R186" s="3"/>
      <c r="S186" s="3"/>
      <c r="T186" s="3"/>
      <c r="U186" s="3"/>
      <c r="V186" s="3"/>
      <c r="W186" s="3"/>
      <c r="X186" s="3"/>
      <c r="Y186" s="3"/>
      <c r="Z186" s="3"/>
      <c r="AA186" s="3"/>
      <c r="AB186" s="3"/>
      <c r="AC186" s="3"/>
      <c r="AD186" s="3"/>
      <c r="AE186" s="3"/>
      <c r="AF186" s="3"/>
    </row>
    <row r="187" spans="1:32" customFormat="1" ht="64.2" customHeight="1" x14ac:dyDescent="0.25">
      <c r="A187" s="16" t="s">
        <v>121</v>
      </c>
      <c r="B187" s="58" t="s">
        <v>452</v>
      </c>
      <c r="C187" s="19"/>
      <c r="D187" s="17"/>
      <c r="E187" s="17"/>
      <c r="F187" s="17"/>
      <c r="G187" s="17"/>
      <c r="H187" s="39" t="s">
        <v>535</v>
      </c>
      <c r="I187" s="18" t="s">
        <v>185</v>
      </c>
      <c r="J187" s="18">
        <v>2</v>
      </c>
      <c r="K187" s="18" t="s">
        <v>463</v>
      </c>
      <c r="L187" s="37">
        <v>202.9</v>
      </c>
      <c r="M187" s="18">
        <v>5</v>
      </c>
      <c r="N187" s="18">
        <f>SUM(O187-L187)</f>
        <v>10.14500000000001</v>
      </c>
      <c r="O187" s="37">
        <f>SUM(L187*1.05)</f>
        <v>213.04500000000002</v>
      </c>
      <c r="P187" s="18" t="s">
        <v>186</v>
      </c>
      <c r="Q187" s="39" t="s">
        <v>456</v>
      </c>
      <c r="R187" s="41">
        <f>SUM(4*625)</f>
        <v>2500</v>
      </c>
      <c r="S187" s="41">
        <f>SUM(R187)</f>
        <v>2500</v>
      </c>
      <c r="T187" s="41">
        <f>SUM(((120/30)/4)*2)</f>
        <v>2</v>
      </c>
      <c r="U187" s="42">
        <f>SUM(J187*L187)</f>
        <v>405.8</v>
      </c>
      <c r="V187" s="42">
        <f>SUM(J187*O187)</f>
        <v>426.09000000000003</v>
      </c>
      <c r="W187" s="3"/>
      <c r="X187" s="3"/>
      <c r="Y187" s="3"/>
      <c r="Z187" s="3"/>
      <c r="AA187" s="3"/>
      <c r="AB187" s="3"/>
      <c r="AC187" s="3"/>
      <c r="AD187" s="3"/>
      <c r="AE187" s="3"/>
      <c r="AF187" s="3"/>
    </row>
    <row r="188" spans="1:32" customFormat="1" ht="64.2" customHeight="1" x14ac:dyDescent="0.25">
      <c r="A188" s="16" t="s">
        <v>460</v>
      </c>
      <c r="B188" s="40" t="s">
        <v>193</v>
      </c>
      <c r="C188" s="19"/>
      <c r="D188" s="17"/>
      <c r="E188" s="17"/>
      <c r="F188" s="17"/>
      <c r="G188" s="17"/>
      <c r="H188" s="18" t="s">
        <v>196</v>
      </c>
      <c r="I188" s="18" t="s">
        <v>185</v>
      </c>
      <c r="J188" s="18">
        <v>0.05</v>
      </c>
      <c r="K188" s="18" t="s">
        <v>281</v>
      </c>
      <c r="L188" s="37">
        <v>160.5</v>
      </c>
      <c r="M188" s="18">
        <v>5</v>
      </c>
      <c r="N188" s="38">
        <f>SUM(O188-L188)</f>
        <v>8.0250000000000057</v>
      </c>
      <c r="O188" s="37">
        <f>SUM(L188*1.05)</f>
        <v>168.52500000000001</v>
      </c>
      <c r="P188" s="18" t="s">
        <v>186</v>
      </c>
      <c r="Q188" s="39" t="s">
        <v>457</v>
      </c>
      <c r="R188" s="3"/>
      <c r="S188" s="3"/>
      <c r="T188" s="3"/>
      <c r="U188" s="42">
        <f t="shared" ref="U188:U190" si="112">SUM(J188*L188)</f>
        <v>8.0250000000000004</v>
      </c>
      <c r="V188" s="42">
        <f t="shared" ref="V188:V190" si="113">SUM(J188*O188)</f>
        <v>8.4262500000000014</v>
      </c>
      <c r="W188" s="3"/>
      <c r="X188" s="3"/>
      <c r="Y188" s="3"/>
      <c r="Z188" s="3"/>
      <c r="AA188" s="3"/>
      <c r="AB188" s="3"/>
      <c r="AC188" s="3"/>
      <c r="AD188" s="3"/>
      <c r="AE188" s="3"/>
      <c r="AF188" s="3"/>
    </row>
    <row r="189" spans="1:32" customFormat="1" ht="64.2" customHeight="1" x14ac:dyDescent="0.25">
      <c r="A189" s="16" t="s">
        <v>461</v>
      </c>
      <c r="B189" s="40" t="s">
        <v>194</v>
      </c>
      <c r="C189" s="19"/>
      <c r="D189" s="17"/>
      <c r="E189" s="17"/>
      <c r="F189" s="17"/>
      <c r="G189" s="17"/>
      <c r="H189" s="18" t="s">
        <v>197</v>
      </c>
      <c r="I189" s="18" t="s">
        <v>185</v>
      </c>
      <c r="J189" s="18">
        <v>0.1</v>
      </c>
      <c r="K189" s="18" t="s">
        <v>198</v>
      </c>
      <c r="L189" s="37">
        <v>183.2</v>
      </c>
      <c r="M189" s="18">
        <v>5</v>
      </c>
      <c r="N189" s="38">
        <f t="shared" ref="N189:N190" si="114">SUM(O189-L189)</f>
        <v>9.1599999999999966</v>
      </c>
      <c r="O189" s="37">
        <f t="shared" ref="O189:O190" si="115">SUM(L189*1.05)</f>
        <v>192.35999999999999</v>
      </c>
      <c r="P189" s="18" t="s">
        <v>186</v>
      </c>
      <c r="Q189" s="39" t="s">
        <v>458</v>
      </c>
      <c r="R189" s="3"/>
      <c r="S189" s="3"/>
      <c r="T189" s="3"/>
      <c r="U189" s="42">
        <f t="shared" si="112"/>
        <v>18.32</v>
      </c>
      <c r="V189" s="42">
        <f t="shared" si="113"/>
        <v>19.236000000000001</v>
      </c>
      <c r="W189" s="3"/>
      <c r="X189" s="3"/>
      <c r="Y189" s="3"/>
      <c r="Z189" s="3"/>
      <c r="AA189" s="3"/>
      <c r="AB189" s="3"/>
      <c r="AC189" s="3"/>
      <c r="AD189" s="3"/>
      <c r="AE189" s="3"/>
      <c r="AF189" s="3"/>
    </row>
    <row r="190" spans="1:32" customFormat="1" ht="64.2" customHeight="1" x14ac:dyDescent="0.25">
      <c r="A190" s="16" t="s">
        <v>462</v>
      </c>
      <c r="B190" s="40" t="s">
        <v>195</v>
      </c>
      <c r="C190" s="19"/>
      <c r="D190" s="17"/>
      <c r="E190" s="17"/>
      <c r="F190" s="17"/>
      <c r="G190" s="17"/>
      <c r="H190" s="18" t="s">
        <v>197</v>
      </c>
      <c r="I190" s="18" t="s">
        <v>185</v>
      </c>
      <c r="J190" s="18">
        <v>0.1</v>
      </c>
      <c r="K190" s="18" t="s">
        <v>198</v>
      </c>
      <c r="L190" s="37">
        <v>183.2</v>
      </c>
      <c r="M190" s="18">
        <v>5</v>
      </c>
      <c r="N190" s="38">
        <f t="shared" si="114"/>
        <v>9.1599999999999966</v>
      </c>
      <c r="O190" s="37">
        <f t="shared" si="115"/>
        <v>192.35999999999999</v>
      </c>
      <c r="P190" s="18" t="s">
        <v>186</v>
      </c>
      <c r="Q190" s="39" t="s">
        <v>459</v>
      </c>
      <c r="R190" s="3"/>
      <c r="S190" s="3"/>
      <c r="T190" s="3"/>
      <c r="U190" s="42">
        <f t="shared" si="112"/>
        <v>18.32</v>
      </c>
      <c r="V190" s="42">
        <f t="shared" si="113"/>
        <v>19.236000000000001</v>
      </c>
      <c r="W190" s="3"/>
      <c r="X190" s="3"/>
      <c r="Y190" s="3"/>
      <c r="Z190" s="3"/>
      <c r="AA190" s="3"/>
      <c r="AB190" s="3"/>
      <c r="AC190" s="3"/>
      <c r="AD190" s="3"/>
      <c r="AE190" s="3"/>
      <c r="AF190" s="3"/>
    </row>
    <row r="191" spans="1:32" customFormat="1" ht="13.8" x14ac:dyDescent="0.25">
      <c r="A191" s="16" t="s">
        <v>2</v>
      </c>
      <c r="B191" s="26"/>
      <c r="C191" s="19"/>
      <c r="D191" s="17"/>
      <c r="E191" s="17"/>
      <c r="F191" s="17"/>
      <c r="G191" s="17"/>
      <c r="H191" s="17"/>
      <c r="I191" s="17"/>
      <c r="J191" s="17"/>
      <c r="K191" s="17"/>
      <c r="L191" s="17"/>
      <c r="M191" s="17"/>
      <c r="N191" s="17"/>
      <c r="O191" s="17"/>
      <c r="P191" s="17"/>
      <c r="Q191" s="17"/>
      <c r="R191" s="3"/>
      <c r="S191" s="3"/>
      <c r="T191" s="53" t="s">
        <v>596</v>
      </c>
      <c r="U191" s="44">
        <f>SUM(U187:U190)</f>
        <v>450.46499999999997</v>
      </c>
      <c r="V191" s="44">
        <f>SUM(V187:V190)</f>
        <v>472.98824999999999</v>
      </c>
      <c r="W191" s="3"/>
      <c r="X191" s="3"/>
      <c r="Y191" s="3"/>
      <c r="Z191" s="3"/>
      <c r="AA191" s="3"/>
      <c r="AB191" s="3"/>
      <c r="AC191" s="3"/>
      <c r="AD191" s="3"/>
      <c r="AE191" s="3"/>
      <c r="AF191" s="3"/>
    </row>
    <row r="192" spans="1:32" customFormat="1" ht="46.2" customHeight="1" x14ac:dyDescent="0.25">
      <c r="A192" s="15" t="s">
        <v>123</v>
      </c>
      <c r="B192" s="25" t="s">
        <v>136</v>
      </c>
      <c r="C192" s="27">
        <v>18000</v>
      </c>
      <c r="D192" s="18">
        <f>SUM(E192/C192)</f>
        <v>3.4252184325675887E-2</v>
      </c>
      <c r="E192" s="83">
        <f>SUM(U197+(W223*C192+(W233*C192)))</f>
        <v>616.53931786216594</v>
      </c>
      <c r="F192" s="56" t="s">
        <v>593</v>
      </c>
      <c r="G192" s="83">
        <f>SUM(V197+(X223*C192)+(X233*C192))</f>
        <v>676.3113504219408</v>
      </c>
      <c r="H192" s="17"/>
      <c r="I192" s="17"/>
      <c r="J192" s="17"/>
      <c r="K192" s="17"/>
      <c r="L192" s="17"/>
      <c r="M192" s="17"/>
      <c r="N192" s="17"/>
      <c r="O192" s="17"/>
      <c r="P192" s="17"/>
      <c r="Q192" s="17"/>
      <c r="R192" s="3"/>
      <c r="S192" s="3"/>
      <c r="T192" s="3"/>
      <c r="U192" s="3"/>
      <c r="V192" s="3"/>
      <c r="W192" s="3"/>
      <c r="X192" s="3"/>
      <c r="Y192" s="3"/>
      <c r="Z192" s="3"/>
      <c r="AA192" s="3"/>
      <c r="AB192" s="3"/>
      <c r="AC192" s="3"/>
      <c r="AD192" s="3"/>
      <c r="AE192" s="3"/>
      <c r="AF192" s="3"/>
    </row>
    <row r="193" spans="1:32" customFormat="1" ht="64.2" customHeight="1" x14ac:dyDescent="0.25">
      <c r="A193" s="16" t="s">
        <v>124</v>
      </c>
      <c r="B193" s="58" t="s">
        <v>464</v>
      </c>
      <c r="C193" s="19"/>
      <c r="D193" s="17"/>
      <c r="E193" s="17"/>
      <c r="F193" s="17"/>
      <c r="G193" s="17"/>
      <c r="H193" s="18" t="s">
        <v>466</v>
      </c>
      <c r="I193" s="18" t="s">
        <v>185</v>
      </c>
      <c r="J193" s="18">
        <v>9</v>
      </c>
      <c r="K193" s="18" t="s">
        <v>474</v>
      </c>
      <c r="L193" s="37">
        <v>38</v>
      </c>
      <c r="M193" s="18">
        <v>5</v>
      </c>
      <c r="N193" s="18">
        <f>SUM(O193-L193)</f>
        <v>1.8999999999999986</v>
      </c>
      <c r="O193" s="37">
        <f>SUM(L193*1.05)</f>
        <v>39.9</v>
      </c>
      <c r="P193" s="18" t="s">
        <v>465</v>
      </c>
      <c r="Q193" s="39" t="s">
        <v>467</v>
      </c>
      <c r="R193" s="41">
        <f>SUM(4*990)</f>
        <v>3960</v>
      </c>
      <c r="S193" s="41">
        <f>SUM(18000+480)</f>
        <v>18480</v>
      </c>
      <c r="T193" s="42">
        <f>SUM(((120/7)/4)*2)</f>
        <v>8.5714285714285712</v>
      </c>
      <c r="U193" s="42">
        <f>SUM(J193*L193)</f>
        <v>342</v>
      </c>
      <c r="V193" s="42">
        <f>SUM(J193*O193)</f>
        <v>359.09999999999997</v>
      </c>
      <c r="W193" s="3"/>
      <c r="X193" s="3"/>
      <c r="Y193" s="3"/>
      <c r="Z193" s="3"/>
      <c r="AA193" s="3"/>
      <c r="AB193" s="3"/>
      <c r="AC193" s="3"/>
      <c r="AD193" s="3"/>
      <c r="AE193" s="3"/>
      <c r="AF193" s="3"/>
    </row>
    <row r="194" spans="1:32" customFormat="1" ht="64.2" customHeight="1" x14ac:dyDescent="0.25">
      <c r="A194" s="16" t="s">
        <v>471</v>
      </c>
      <c r="B194" s="40" t="s">
        <v>193</v>
      </c>
      <c r="C194" s="19"/>
      <c r="D194" s="17"/>
      <c r="E194" s="17"/>
      <c r="F194" s="17"/>
      <c r="G194" s="17"/>
      <c r="H194" s="18" t="s">
        <v>196</v>
      </c>
      <c r="I194" s="18" t="s">
        <v>185</v>
      </c>
      <c r="J194" s="18">
        <v>0.05</v>
      </c>
      <c r="K194" s="18" t="s">
        <v>281</v>
      </c>
      <c r="L194" s="37">
        <v>160.5</v>
      </c>
      <c r="M194" s="18">
        <v>5</v>
      </c>
      <c r="N194" s="38">
        <f>SUM(O194-L194)</f>
        <v>8.0250000000000057</v>
      </c>
      <c r="O194" s="37">
        <f>SUM(L194*1.05)</f>
        <v>168.52500000000001</v>
      </c>
      <c r="P194" s="18" t="s">
        <v>186</v>
      </c>
      <c r="Q194" s="39" t="s">
        <v>468</v>
      </c>
      <c r="R194" s="3"/>
      <c r="S194" s="3"/>
      <c r="T194" s="3"/>
      <c r="U194" s="42">
        <f t="shared" ref="U194:U196" si="116">SUM(J194*L194)</f>
        <v>8.0250000000000004</v>
      </c>
      <c r="V194" s="42">
        <f t="shared" ref="V194:V196" si="117">SUM(J194*O194)</f>
        <v>8.4262500000000014</v>
      </c>
      <c r="W194" s="3"/>
      <c r="X194" s="3"/>
      <c r="Y194" s="3"/>
      <c r="Z194" s="3"/>
      <c r="AA194" s="3"/>
      <c r="AB194" s="3"/>
      <c r="AC194" s="3"/>
      <c r="AD194" s="3"/>
      <c r="AE194" s="3"/>
      <c r="AF194" s="3"/>
    </row>
    <row r="195" spans="1:32" customFormat="1" ht="64.2" customHeight="1" x14ac:dyDescent="0.25">
      <c r="A195" s="16" t="s">
        <v>472</v>
      </c>
      <c r="B195" s="40" t="s">
        <v>194</v>
      </c>
      <c r="C195" s="19"/>
      <c r="D195" s="17"/>
      <c r="E195" s="17"/>
      <c r="F195" s="17"/>
      <c r="G195" s="17"/>
      <c r="H195" s="18" t="s">
        <v>197</v>
      </c>
      <c r="I195" s="18" t="s">
        <v>185</v>
      </c>
      <c r="J195" s="18">
        <v>0.1</v>
      </c>
      <c r="K195" s="18" t="s">
        <v>198</v>
      </c>
      <c r="L195" s="37">
        <v>183.2</v>
      </c>
      <c r="M195" s="18">
        <v>5</v>
      </c>
      <c r="N195" s="38">
        <f t="shared" ref="N195:N196" si="118">SUM(O195-L195)</f>
        <v>9.1599999999999966</v>
      </c>
      <c r="O195" s="37">
        <f t="shared" ref="O195:O196" si="119">SUM(L195*1.05)</f>
        <v>192.35999999999999</v>
      </c>
      <c r="P195" s="18" t="s">
        <v>186</v>
      </c>
      <c r="Q195" s="39" t="s">
        <v>469</v>
      </c>
      <c r="R195" s="3"/>
      <c r="S195" s="3"/>
      <c r="T195" s="3"/>
      <c r="U195" s="42">
        <f t="shared" si="116"/>
        <v>18.32</v>
      </c>
      <c r="V195" s="42">
        <f t="shared" si="117"/>
        <v>19.236000000000001</v>
      </c>
      <c r="W195" s="3"/>
      <c r="X195" s="3"/>
      <c r="Y195" s="3"/>
      <c r="Z195" s="3"/>
      <c r="AA195" s="3"/>
      <c r="AB195" s="3"/>
      <c r="AC195" s="3"/>
      <c r="AD195" s="3"/>
      <c r="AE195" s="3"/>
      <c r="AF195" s="3"/>
    </row>
    <row r="196" spans="1:32" customFormat="1" ht="64.2" customHeight="1" x14ac:dyDescent="0.25">
      <c r="A196" s="16" t="s">
        <v>473</v>
      </c>
      <c r="B196" s="40" t="s">
        <v>195</v>
      </c>
      <c r="C196" s="19"/>
      <c r="D196" s="17"/>
      <c r="E196" s="17"/>
      <c r="F196" s="17"/>
      <c r="G196" s="17"/>
      <c r="H196" s="18" t="s">
        <v>197</v>
      </c>
      <c r="I196" s="18" t="s">
        <v>185</v>
      </c>
      <c r="J196" s="18">
        <v>0.1</v>
      </c>
      <c r="K196" s="18" t="s">
        <v>198</v>
      </c>
      <c r="L196" s="37">
        <v>183.2</v>
      </c>
      <c r="M196" s="18">
        <v>5</v>
      </c>
      <c r="N196" s="38">
        <f t="shared" si="118"/>
        <v>9.1599999999999966</v>
      </c>
      <c r="O196" s="37">
        <f t="shared" si="119"/>
        <v>192.35999999999999</v>
      </c>
      <c r="P196" s="18" t="s">
        <v>186</v>
      </c>
      <c r="Q196" s="39" t="s">
        <v>470</v>
      </c>
      <c r="R196" s="3"/>
      <c r="S196" s="3"/>
      <c r="T196" s="3"/>
      <c r="U196" s="42">
        <f t="shared" si="116"/>
        <v>18.32</v>
      </c>
      <c r="V196" s="42">
        <f t="shared" si="117"/>
        <v>19.236000000000001</v>
      </c>
      <c r="W196" s="3"/>
      <c r="X196" s="3"/>
      <c r="Y196" s="3"/>
      <c r="Z196" s="3"/>
      <c r="AA196" s="3"/>
      <c r="AB196" s="3"/>
      <c r="AC196" s="3"/>
      <c r="AD196" s="3"/>
      <c r="AE196" s="3"/>
      <c r="AF196" s="3"/>
    </row>
    <row r="197" spans="1:32" customFormat="1" ht="13.8" x14ac:dyDescent="0.25">
      <c r="A197" s="16" t="s">
        <v>2</v>
      </c>
      <c r="B197" s="26"/>
      <c r="C197" s="19"/>
      <c r="D197" s="17"/>
      <c r="E197" s="17"/>
      <c r="F197" s="17"/>
      <c r="G197" s="17"/>
      <c r="H197" s="17"/>
      <c r="I197" s="17"/>
      <c r="J197" s="17"/>
      <c r="K197" s="17"/>
      <c r="L197" s="17"/>
      <c r="M197" s="17"/>
      <c r="N197" s="17"/>
      <c r="O197" s="17"/>
      <c r="P197" s="17"/>
      <c r="Q197" s="17"/>
      <c r="R197" s="3"/>
      <c r="S197" s="3"/>
      <c r="T197" s="53" t="s">
        <v>596</v>
      </c>
      <c r="U197" s="44">
        <f>SUM(U193:U196)</f>
        <v>386.66499999999996</v>
      </c>
      <c r="V197" s="44">
        <f>SUM(V193:V196)</f>
        <v>405.99824999999993</v>
      </c>
      <c r="W197" s="3"/>
      <c r="X197" s="3"/>
      <c r="Y197" s="3"/>
      <c r="Z197" s="3"/>
      <c r="AA197" s="3"/>
      <c r="AB197" s="3"/>
      <c r="AC197" s="3"/>
      <c r="AD197" s="3"/>
      <c r="AE197" s="3"/>
      <c r="AF197" s="3"/>
    </row>
    <row r="198" spans="1:32" customFormat="1" ht="46.2" customHeight="1" x14ac:dyDescent="0.25">
      <c r="A198" s="15" t="s">
        <v>127</v>
      </c>
      <c r="B198" s="25" t="s">
        <v>137</v>
      </c>
      <c r="C198" s="27">
        <v>1000</v>
      </c>
      <c r="D198" s="18">
        <f>SUM(E198/C198)</f>
        <v>0.425435795436787</v>
      </c>
      <c r="E198" s="83">
        <f>SUM(U203+(W223*C198+(W233*C198)))</f>
        <v>425.43579543678698</v>
      </c>
      <c r="F198" s="56" t="s">
        <v>593</v>
      </c>
      <c r="G198" s="83">
        <f>SUM(V203+(X223*C198)+(X233*C198))</f>
        <v>448.31564446788559</v>
      </c>
      <c r="H198" s="17"/>
      <c r="I198" s="17"/>
      <c r="J198" s="17"/>
      <c r="K198" s="17"/>
      <c r="L198" s="17"/>
      <c r="M198" s="17"/>
      <c r="N198" s="17"/>
      <c r="O198" s="17"/>
      <c r="P198" s="17"/>
      <c r="Q198" s="17"/>
      <c r="R198" s="3"/>
      <c r="S198" s="3"/>
      <c r="T198" s="3"/>
      <c r="U198" s="3"/>
      <c r="V198" s="3"/>
      <c r="W198" s="3"/>
      <c r="X198" s="3"/>
      <c r="Y198" s="3"/>
      <c r="Z198" s="3"/>
      <c r="AA198" s="3"/>
      <c r="AB198" s="3"/>
      <c r="AC198" s="3"/>
      <c r="AD198" s="3"/>
      <c r="AE198" s="3"/>
      <c r="AF198" s="3"/>
    </row>
    <row r="199" spans="1:32" customFormat="1" ht="64.2" customHeight="1" x14ac:dyDescent="0.25">
      <c r="A199" s="16" t="s">
        <v>128</v>
      </c>
      <c r="B199" s="59" t="s">
        <v>536</v>
      </c>
      <c r="C199" s="19"/>
      <c r="D199" s="17"/>
      <c r="E199" s="17"/>
      <c r="F199" s="17"/>
      <c r="G199" s="17"/>
      <c r="H199" s="39" t="s">
        <v>536</v>
      </c>
      <c r="I199" s="18" t="s">
        <v>185</v>
      </c>
      <c r="J199" s="18">
        <v>2</v>
      </c>
      <c r="K199" s="18" t="s">
        <v>479</v>
      </c>
      <c r="L199" s="37">
        <v>184</v>
      </c>
      <c r="M199" s="18">
        <v>5</v>
      </c>
      <c r="N199" s="18">
        <f>SUM(O199-L199)</f>
        <v>9.2000000000000171</v>
      </c>
      <c r="O199" s="37">
        <f>SUM(L199*1.05)</f>
        <v>193.20000000000002</v>
      </c>
      <c r="P199" s="18" t="s">
        <v>186</v>
      </c>
      <c r="Q199" s="39" t="s">
        <v>522</v>
      </c>
      <c r="R199" s="41">
        <f>SUM(4*230)</f>
        <v>920</v>
      </c>
      <c r="S199" s="41">
        <f>SUM(1000+480)</f>
        <v>1480</v>
      </c>
      <c r="T199" s="41">
        <f>SUM(((120/30)/4)*2)</f>
        <v>2</v>
      </c>
      <c r="U199" s="42">
        <f>SUM(J199*L199)</f>
        <v>368</v>
      </c>
      <c r="V199" s="42">
        <f>SUM(J199*O199)</f>
        <v>386.40000000000003</v>
      </c>
      <c r="W199" s="3"/>
      <c r="X199" s="3"/>
      <c r="Y199" s="3"/>
      <c r="Z199" s="3"/>
      <c r="AA199" s="3"/>
      <c r="AB199" s="3"/>
      <c r="AC199" s="3"/>
      <c r="AD199" s="3"/>
      <c r="AE199" s="3"/>
      <c r="AF199" s="3"/>
    </row>
    <row r="200" spans="1:32" customFormat="1" ht="64.2" customHeight="1" x14ac:dyDescent="0.25">
      <c r="A200" s="16" t="s">
        <v>475</v>
      </c>
      <c r="B200" s="40" t="s">
        <v>193</v>
      </c>
      <c r="C200" s="19"/>
      <c r="D200" s="17"/>
      <c r="E200" s="17"/>
      <c r="F200" s="17"/>
      <c r="G200" s="17"/>
      <c r="H200" s="18" t="s">
        <v>196</v>
      </c>
      <c r="I200" s="18" t="s">
        <v>185</v>
      </c>
      <c r="J200" s="18">
        <v>0.05</v>
      </c>
      <c r="K200" s="18" t="s">
        <v>281</v>
      </c>
      <c r="L200" s="37">
        <v>160.5</v>
      </c>
      <c r="M200" s="18">
        <v>5</v>
      </c>
      <c r="N200" s="38">
        <f>SUM(O200-L200)</f>
        <v>8.0250000000000057</v>
      </c>
      <c r="O200" s="37">
        <f>SUM(L200*1.05)</f>
        <v>168.52500000000001</v>
      </c>
      <c r="P200" s="18" t="s">
        <v>186</v>
      </c>
      <c r="Q200" s="39" t="s">
        <v>468</v>
      </c>
      <c r="R200" s="3"/>
      <c r="S200" s="3"/>
      <c r="T200" s="3"/>
      <c r="U200" s="42">
        <f t="shared" ref="U200:U202" si="120">SUM(J200*L200)</f>
        <v>8.0250000000000004</v>
      </c>
      <c r="V200" s="42">
        <f t="shared" ref="V200:V202" si="121">SUM(J200*O200)</f>
        <v>8.4262500000000014</v>
      </c>
      <c r="W200" s="3"/>
      <c r="X200" s="3"/>
      <c r="Y200" s="3"/>
      <c r="Z200" s="3"/>
      <c r="AA200" s="3"/>
      <c r="AB200" s="3"/>
      <c r="AC200" s="3"/>
      <c r="AD200" s="3"/>
      <c r="AE200" s="3"/>
      <c r="AF200" s="3"/>
    </row>
    <row r="201" spans="1:32" customFormat="1" ht="64.2" customHeight="1" x14ac:dyDescent="0.25">
      <c r="A201" s="16" t="s">
        <v>476</v>
      </c>
      <c r="B201" s="40" t="s">
        <v>194</v>
      </c>
      <c r="C201" s="19"/>
      <c r="D201" s="17"/>
      <c r="E201" s="17"/>
      <c r="F201" s="17"/>
      <c r="G201" s="17"/>
      <c r="H201" s="18" t="s">
        <v>197</v>
      </c>
      <c r="I201" s="18" t="s">
        <v>185</v>
      </c>
      <c r="J201" s="18">
        <v>0.1</v>
      </c>
      <c r="K201" s="18" t="s">
        <v>198</v>
      </c>
      <c r="L201" s="37">
        <v>183.2</v>
      </c>
      <c r="M201" s="18">
        <v>5</v>
      </c>
      <c r="N201" s="38">
        <f t="shared" ref="N201:N202" si="122">SUM(O201-L201)</f>
        <v>9.1599999999999966</v>
      </c>
      <c r="O201" s="37">
        <f t="shared" ref="O201:O202" si="123">SUM(L201*1.05)</f>
        <v>192.35999999999999</v>
      </c>
      <c r="P201" s="18" t="s">
        <v>186</v>
      </c>
      <c r="Q201" s="39" t="s">
        <v>469</v>
      </c>
      <c r="R201" s="3"/>
      <c r="S201" s="3"/>
      <c r="T201" s="3"/>
      <c r="U201" s="42">
        <f t="shared" si="120"/>
        <v>18.32</v>
      </c>
      <c r="V201" s="42">
        <f t="shared" si="121"/>
        <v>19.236000000000001</v>
      </c>
      <c r="W201" s="3"/>
      <c r="X201" s="3"/>
      <c r="Y201" s="3"/>
      <c r="Z201" s="3"/>
      <c r="AA201" s="3"/>
      <c r="AB201" s="3"/>
      <c r="AC201" s="3"/>
      <c r="AD201" s="3"/>
      <c r="AE201" s="3"/>
      <c r="AF201" s="3"/>
    </row>
    <row r="202" spans="1:32" customFormat="1" ht="64.2" customHeight="1" x14ac:dyDescent="0.25">
      <c r="A202" s="16" t="s">
        <v>478</v>
      </c>
      <c r="B202" s="40" t="s">
        <v>195</v>
      </c>
      <c r="C202" s="19"/>
      <c r="D202" s="17"/>
      <c r="E202" s="17"/>
      <c r="F202" s="17"/>
      <c r="G202" s="17"/>
      <c r="H202" s="18" t="s">
        <v>197</v>
      </c>
      <c r="I202" s="18" t="s">
        <v>185</v>
      </c>
      <c r="J202" s="18">
        <v>0.1</v>
      </c>
      <c r="K202" s="18" t="s">
        <v>198</v>
      </c>
      <c r="L202" s="37">
        <v>183.2</v>
      </c>
      <c r="M202" s="18">
        <v>5</v>
      </c>
      <c r="N202" s="38">
        <f t="shared" si="122"/>
        <v>9.1599999999999966</v>
      </c>
      <c r="O202" s="37">
        <f t="shared" si="123"/>
        <v>192.35999999999999</v>
      </c>
      <c r="P202" s="18" t="s">
        <v>186</v>
      </c>
      <c r="Q202" s="39" t="s">
        <v>470</v>
      </c>
      <c r="R202" s="3"/>
      <c r="S202" s="3"/>
      <c r="T202" s="3"/>
      <c r="U202" s="42">
        <f t="shared" si="120"/>
        <v>18.32</v>
      </c>
      <c r="V202" s="42">
        <f t="shared" si="121"/>
        <v>19.236000000000001</v>
      </c>
      <c r="W202" s="3"/>
      <c r="X202" s="3"/>
      <c r="Y202" s="3"/>
      <c r="Z202" s="3"/>
      <c r="AA202" s="3"/>
      <c r="AB202" s="3"/>
      <c r="AC202" s="3"/>
      <c r="AD202" s="3"/>
      <c r="AE202" s="3"/>
      <c r="AF202" s="3"/>
    </row>
    <row r="203" spans="1:32" customFormat="1" ht="13.8" x14ac:dyDescent="0.25">
      <c r="A203" s="16" t="s">
        <v>2</v>
      </c>
      <c r="B203" s="26"/>
      <c r="C203" s="19"/>
      <c r="D203" s="17"/>
      <c r="E203" s="17"/>
      <c r="F203" s="17"/>
      <c r="G203" s="17"/>
      <c r="H203" s="17"/>
      <c r="I203" s="17"/>
      <c r="J203" s="17"/>
      <c r="K203" s="17"/>
      <c r="L203" s="17"/>
      <c r="M203" s="17"/>
      <c r="N203" s="17"/>
      <c r="O203" s="17"/>
      <c r="P203" s="17"/>
      <c r="Q203" s="17"/>
      <c r="R203" s="3"/>
      <c r="S203" s="3"/>
      <c r="T203" s="53" t="s">
        <v>596</v>
      </c>
      <c r="U203" s="44">
        <f>SUM(U199:U202)</f>
        <v>412.66499999999996</v>
      </c>
      <c r="V203" s="44">
        <f>SUM(V199:V202)</f>
        <v>433.29825</v>
      </c>
      <c r="W203" s="3"/>
      <c r="X203" s="3"/>
      <c r="Y203" s="3"/>
      <c r="Z203" s="3"/>
      <c r="AA203" s="3"/>
      <c r="AB203" s="3"/>
      <c r="AC203" s="3"/>
      <c r="AD203" s="3"/>
      <c r="AE203" s="3"/>
      <c r="AF203" s="3"/>
    </row>
    <row r="204" spans="1:32" customFormat="1" ht="46.2" customHeight="1" x14ac:dyDescent="0.25">
      <c r="A204" s="15" t="s">
        <v>130</v>
      </c>
      <c r="B204" s="25" t="s">
        <v>138</v>
      </c>
      <c r="C204" s="27">
        <v>20000</v>
      </c>
      <c r="D204" s="18">
        <f>SUM(E204/C204)</f>
        <v>0.24190279543678694</v>
      </c>
      <c r="E204" s="37">
        <f>SUM(U218+(W223*C204)+(W233*C204))</f>
        <v>4838.0559087357387</v>
      </c>
      <c r="F204" s="56" t="s">
        <v>593</v>
      </c>
      <c r="G204" s="37">
        <f>SUM(V218+(X223*C204)+(X233*C204))</f>
        <v>5112.1198893577121</v>
      </c>
      <c r="H204" s="17"/>
      <c r="I204" s="17"/>
      <c r="J204" s="17"/>
      <c r="K204" s="17"/>
      <c r="L204" s="17"/>
      <c r="M204" s="17"/>
      <c r="N204" s="17"/>
      <c r="O204" s="17"/>
      <c r="P204" s="17"/>
      <c r="Q204" s="17"/>
      <c r="R204" s="3"/>
      <c r="S204" s="3"/>
      <c r="T204" s="3"/>
      <c r="U204" s="3"/>
      <c r="V204" s="3"/>
      <c r="W204" s="3"/>
      <c r="X204" s="3"/>
      <c r="Y204" s="3"/>
      <c r="Z204" s="3"/>
      <c r="AA204" s="3"/>
      <c r="AB204" s="3"/>
      <c r="AC204" s="3"/>
      <c r="AD204" s="3"/>
      <c r="AE204" s="3"/>
      <c r="AF204" s="3"/>
    </row>
    <row r="205" spans="1:32" customFormat="1" ht="64.2" customHeight="1" x14ac:dyDescent="0.25">
      <c r="A205" s="16" t="s">
        <v>131</v>
      </c>
      <c r="B205" s="21" t="s">
        <v>480</v>
      </c>
      <c r="C205" s="19"/>
      <c r="D205" s="17"/>
      <c r="E205" s="17"/>
      <c r="F205" s="17"/>
      <c r="G205" s="17"/>
      <c r="H205" s="73" t="s">
        <v>480</v>
      </c>
      <c r="I205" s="18" t="s">
        <v>185</v>
      </c>
      <c r="J205" s="18">
        <v>5</v>
      </c>
      <c r="K205" s="18" t="s">
        <v>494</v>
      </c>
      <c r="L205" s="37">
        <v>88</v>
      </c>
      <c r="M205" s="18">
        <v>5</v>
      </c>
      <c r="N205" s="37">
        <f>SUM(O205-L205)</f>
        <v>4.4000000000000057</v>
      </c>
      <c r="O205" s="37">
        <f>SUM(L205*1.05)</f>
        <v>92.4</v>
      </c>
      <c r="P205" s="18" t="s">
        <v>418</v>
      </c>
      <c r="Q205" s="73" t="s">
        <v>498</v>
      </c>
      <c r="R205" s="53"/>
      <c r="S205" s="41">
        <f>SUM(20000+720)</f>
        <v>20720</v>
      </c>
      <c r="T205" s="53"/>
      <c r="U205" s="42">
        <f>SUM(J205*L205)</f>
        <v>440</v>
      </c>
      <c r="V205" s="42">
        <f>SUM(J205*O205)</f>
        <v>462</v>
      </c>
      <c r="W205" s="3"/>
      <c r="X205" s="3"/>
      <c r="Y205" s="3"/>
      <c r="Z205" s="3"/>
      <c r="AA205" s="3"/>
      <c r="AB205" s="3"/>
      <c r="AC205" s="3"/>
      <c r="AD205" s="3"/>
      <c r="AE205" s="3"/>
      <c r="AF205" s="3"/>
    </row>
    <row r="206" spans="1:32" customFormat="1" ht="64.2" customHeight="1" x14ac:dyDescent="0.25">
      <c r="A206" s="16" t="s">
        <v>488</v>
      </c>
      <c r="B206" s="55" t="s">
        <v>481</v>
      </c>
      <c r="C206" s="19"/>
      <c r="D206" s="17"/>
      <c r="E206" s="17"/>
      <c r="F206" s="17"/>
      <c r="G206" s="17"/>
      <c r="H206" s="74" t="s">
        <v>481</v>
      </c>
      <c r="I206" s="18" t="s">
        <v>185</v>
      </c>
      <c r="J206" s="18">
        <v>6</v>
      </c>
      <c r="K206" s="18" t="s">
        <v>494</v>
      </c>
      <c r="L206" s="37">
        <v>88</v>
      </c>
      <c r="M206" s="18">
        <v>5</v>
      </c>
      <c r="N206" s="37">
        <f t="shared" ref="N206:N215" si="124">SUM(O206-L206)</f>
        <v>4.4000000000000057</v>
      </c>
      <c r="O206" s="37">
        <f t="shared" ref="O206:O215" si="125">SUM(L206*1.05)</f>
        <v>92.4</v>
      </c>
      <c r="P206" s="18" t="s">
        <v>186</v>
      </c>
      <c r="Q206" s="74" t="s">
        <v>499</v>
      </c>
      <c r="R206" s="3"/>
      <c r="S206" s="3"/>
      <c r="T206" s="3"/>
      <c r="U206" s="42">
        <f t="shared" ref="U206:U217" si="126">SUM(J206*L206)</f>
        <v>528</v>
      </c>
      <c r="V206" s="42">
        <f t="shared" ref="V206:V217" si="127">SUM(J206*O206)</f>
        <v>554.40000000000009</v>
      </c>
      <c r="W206" s="3"/>
      <c r="X206" s="3"/>
      <c r="Y206" s="3"/>
      <c r="Z206" s="3"/>
      <c r="AA206" s="3"/>
      <c r="AB206" s="3"/>
      <c r="AC206" s="3"/>
      <c r="AD206" s="3"/>
      <c r="AE206" s="3"/>
      <c r="AF206" s="3"/>
    </row>
    <row r="207" spans="1:32" customFormat="1" ht="64.2" customHeight="1" x14ac:dyDescent="0.25">
      <c r="A207" s="16" t="s">
        <v>477</v>
      </c>
      <c r="B207" s="55" t="s">
        <v>482</v>
      </c>
      <c r="C207" s="19"/>
      <c r="D207" s="17"/>
      <c r="E207" s="17"/>
      <c r="F207" s="17"/>
      <c r="G207" s="17"/>
      <c r="H207" s="74" t="s">
        <v>482</v>
      </c>
      <c r="I207" s="18" t="s">
        <v>185</v>
      </c>
      <c r="J207" s="18">
        <v>7</v>
      </c>
      <c r="K207" s="18" t="s">
        <v>495</v>
      </c>
      <c r="L207" s="37">
        <v>120</v>
      </c>
      <c r="M207" s="18">
        <v>5</v>
      </c>
      <c r="N207" s="37">
        <f t="shared" si="124"/>
        <v>6</v>
      </c>
      <c r="O207" s="37">
        <f t="shared" si="125"/>
        <v>126</v>
      </c>
      <c r="P207" s="18" t="s">
        <v>418</v>
      </c>
      <c r="Q207" s="74" t="s">
        <v>500</v>
      </c>
      <c r="R207" s="3"/>
      <c r="S207" s="3"/>
      <c r="T207" s="3"/>
      <c r="U207" s="42">
        <f t="shared" si="126"/>
        <v>840</v>
      </c>
      <c r="V207" s="42">
        <f t="shared" si="127"/>
        <v>882</v>
      </c>
      <c r="W207" s="3"/>
      <c r="X207" s="3"/>
      <c r="Y207" s="3"/>
      <c r="Z207" s="3"/>
      <c r="AA207" s="3"/>
      <c r="AB207" s="3"/>
      <c r="AC207" s="3"/>
      <c r="AD207" s="3"/>
      <c r="AE207" s="3"/>
      <c r="AF207" s="3"/>
    </row>
    <row r="208" spans="1:32" customFormat="1" ht="64.2" customHeight="1" x14ac:dyDescent="0.25">
      <c r="A208" s="16" t="s">
        <v>489</v>
      </c>
      <c r="B208" s="55" t="s">
        <v>483</v>
      </c>
      <c r="C208" s="19"/>
      <c r="D208" s="17"/>
      <c r="E208" s="17"/>
      <c r="F208" s="17"/>
      <c r="G208" s="17"/>
      <c r="H208" s="74" t="s">
        <v>483</v>
      </c>
      <c r="I208" s="18" t="s">
        <v>185</v>
      </c>
      <c r="J208" s="18">
        <v>1</v>
      </c>
      <c r="K208" s="18" t="s">
        <v>496</v>
      </c>
      <c r="L208" s="37">
        <v>80</v>
      </c>
      <c r="M208" s="18">
        <v>5</v>
      </c>
      <c r="N208" s="37">
        <f t="shared" si="124"/>
        <v>4</v>
      </c>
      <c r="O208" s="37">
        <f t="shared" si="125"/>
        <v>84</v>
      </c>
      <c r="P208" s="18" t="s">
        <v>237</v>
      </c>
      <c r="Q208" s="74" t="s">
        <v>501</v>
      </c>
      <c r="R208" s="3"/>
      <c r="S208" s="3"/>
      <c r="T208" s="3"/>
      <c r="U208" s="42">
        <f t="shared" si="126"/>
        <v>80</v>
      </c>
      <c r="V208" s="42">
        <f t="shared" si="127"/>
        <v>84</v>
      </c>
      <c r="W208" s="3"/>
      <c r="X208" s="3"/>
      <c r="Y208" s="3"/>
      <c r="Z208" s="3"/>
      <c r="AA208" s="3"/>
      <c r="AB208" s="3"/>
      <c r="AC208" s="3"/>
      <c r="AD208" s="3"/>
      <c r="AE208" s="3"/>
      <c r="AF208" s="3"/>
    </row>
    <row r="209" spans="1:32" customFormat="1" ht="64.2" customHeight="1" x14ac:dyDescent="0.25">
      <c r="A209" s="16" t="s">
        <v>490</v>
      </c>
      <c r="B209" s="55" t="s">
        <v>484</v>
      </c>
      <c r="C209" s="19"/>
      <c r="D209" s="17"/>
      <c r="E209" s="17"/>
      <c r="F209" s="17"/>
      <c r="G209" s="17"/>
      <c r="H209" s="74" t="s">
        <v>484</v>
      </c>
      <c r="I209" s="18" t="s">
        <v>185</v>
      </c>
      <c r="J209" s="18">
        <v>1</v>
      </c>
      <c r="K209" s="18" t="s">
        <v>496</v>
      </c>
      <c r="L209" s="37">
        <v>84</v>
      </c>
      <c r="M209" s="18">
        <v>5</v>
      </c>
      <c r="N209" s="37">
        <f t="shared" si="124"/>
        <v>4.2000000000000028</v>
      </c>
      <c r="O209" s="37">
        <f t="shared" si="125"/>
        <v>88.2</v>
      </c>
      <c r="P209" s="18" t="s">
        <v>237</v>
      </c>
      <c r="Q209" s="74" t="s">
        <v>502</v>
      </c>
      <c r="R209" s="3"/>
      <c r="S209" s="3"/>
      <c r="T209" s="3"/>
      <c r="U209" s="42">
        <f t="shared" si="126"/>
        <v>84</v>
      </c>
      <c r="V209" s="42">
        <f t="shared" si="127"/>
        <v>88.2</v>
      </c>
      <c r="W209" s="3"/>
      <c r="X209" s="3"/>
      <c r="Y209" s="3"/>
      <c r="Z209" s="3"/>
      <c r="AA209" s="3"/>
      <c r="AB209" s="3"/>
      <c r="AC209" s="3"/>
      <c r="AD209" s="3"/>
      <c r="AE209" s="3"/>
      <c r="AF209" s="3"/>
    </row>
    <row r="210" spans="1:32" customFormat="1" ht="64.2" customHeight="1" x14ac:dyDescent="0.25">
      <c r="A210" s="16" t="s">
        <v>491</v>
      </c>
      <c r="B210" s="55" t="s">
        <v>485</v>
      </c>
      <c r="C210" s="19"/>
      <c r="D210" s="17"/>
      <c r="E210" s="17"/>
      <c r="F210" s="17"/>
      <c r="G210" s="17"/>
      <c r="H210" s="74" t="s">
        <v>485</v>
      </c>
      <c r="I210" s="18" t="s">
        <v>185</v>
      </c>
      <c r="J210" s="18">
        <v>2</v>
      </c>
      <c r="K210" s="18" t="s">
        <v>495</v>
      </c>
      <c r="L210" s="37">
        <v>60</v>
      </c>
      <c r="M210" s="18">
        <v>5</v>
      </c>
      <c r="N210" s="37">
        <f t="shared" si="124"/>
        <v>3</v>
      </c>
      <c r="O210" s="37">
        <f t="shared" si="125"/>
        <v>63</v>
      </c>
      <c r="P210" s="18" t="s">
        <v>237</v>
      </c>
      <c r="Q210" s="74" t="s">
        <v>503</v>
      </c>
      <c r="R210" s="3"/>
      <c r="S210" s="3"/>
      <c r="T210" s="3"/>
      <c r="U210" s="42">
        <f t="shared" si="126"/>
        <v>120</v>
      </c>
      <c r="V210" s="42">
        <f t="shared" si="127"/>
        <v>126</v>
      </c>
      <c r="W210" s="3"/>
      <c r="X210" s="3"/>
      <c r="Y210" s="3"/>
      <c r="Z210" s="3"/>
      <c r="AA210" s="3"/>
      <c r="AB210" s="3"/>
      <c r="AC210" s="3"/>
      <c r="AD210" s="3"/>
      <c r="AE210" s="3"/>
      <c r="AF210" s="3"/>
    </row>
    <row r="211" spans="1:32" customFormat="1" ht="64.2" customHeight="1" x14ac:dyDescent="0.25">
      <c r="A211" s="16" t="s">
        <v>492</v>
      </c>
      <c r="B211" s="55" t="s">
        <v>486</v>
      </c>
      <c r="C211" s="19"/>
      <c r="D211" s="17"/>
      <c r="E211" s="17"/>
      <c r="F211" s="17"/>
      <c r="G211" s="17"/>
      <c r="H211" s="74" t="s">
        <v>486</v>
      </c>
      <c r="I211" s="18" t="s">
        <v>185</v>
      </c>
      <c r="J211" s="18">
        <v>4</v>
      </c>
      <c r="K211" s="18" t="s">
        <v>497</v>
      </c>
      <c r="L211" s="37">
        <v>60</v>
      </c>
      <c r="M211" s="18">
        <v>5</v>
      </c>
      <c r="N211" s="37">
        <f t="shared" si="124"/>
        <v>3</v>
      </c>
      <c r="O211" s="37">
        <f t="shared" si="125"/>
        <v>63</v>
      </c>
      <c r="P211" s="18" t="s">
        <v>237</v>
      </c>
      <c r="Q211" s="74" t="s">
        <v>504</v>
      </c>
      <c r="R211" s="3"/>
      <c r="S211" s="3"/>
      <c r="T211" s="3"/>
      <c r="U211" s="42">
        <f t="shared" si="126"/>
        <v>240</v>
      </c>
      <c r="V211" s="42">
        <f t="shared" si="127"/>
        <v>252</v>
      </c>
      <c r="W211" s="3"/>
      <c r="X211" s="3"/>
      <c r="Y211" s="3"/>
      <c r="Z211" s="3"/>
      <c r="AA211" s="3"/>
      <c r="AB211" s="3"/>
      <c r="AC211" s="3"/>
      <c r="AD211" s="3"/>
      <c r="AE211" s="3"/>
      <c r="AF211" s="3"/>
    </row>
    <row r="212" spans="1:32" customFormat="1" ht="64.2" customHeight="1" x14ac:dyDescent="0.25">
      <c r="A212" s="16" t="s">
        <v>493</v>
      </c>
      <c r="B212" s="55" t="s">
        <v>487</v>
      </c>
      <c r="C212" s="19"/>
      <c r="D212" s="17"/>
      <c r="E212" s="17"/>
      <c r="F212" s="17"/>
      <c r="G212" s="17"/>
      <c r="H212" s="74" t="s">
        <v>487</v>
      </c>
      <c r="I212" s="18" t="s">
        <v>185</v>
      </c>
      <c r="J212" s="18">
        <v>2</v>
      </c>
      <c r="K212" s="18" t="s">
        <v>538</v>
      </c>
      <c r="L212" s="37">
        <v>90</v>
      </c>
      <c r="M212" s="18">
        <v>5</v>
      </c>
      <c r="N212" s="37">
        <f t="shared" si="124"/>
        <v>4.5</v>
      </c>
      <c r="O212" s="37">
        <f t="shared" si="125"/>
        <v>94.5</v>
      </c>
      <c r="P212" s="18" t="s">
        <v>237</v>
      </c>
      <c r="Q212" s="74" t="s">
        <v>505</v>
      </c>
      <c r="R212" s="3"/>
      <c r="S212" s="3"/>
      <c r="T212" s="3"/>
      <c r="U212" s="42">
        <f t="shared" si="126"/>
        <v>180</v>
      </c>
      <c r="V212" s="42">
        <f t="shared" si="127"/>
        <v>189</v>
      </c>
      <c r="W212" s="3"/>
      <c r="X212" s="3"/>
      <c r="Y212" s="3"/>
      <c r="Z212" s="3"/>
      <c r="AA212" s="3"/>
      <c r="AB212" s="3"/>
      <c r="AC212" s="3"/>
      <c r="AD212" s="3"/>
      <c r="AE212" s="3"/>
      <c r="AF212" s="3"/>
    </row>
    <row r="213" spans="1:32" customFormat="1" ht="64.2" customHeight="1" x14ac:dyDescent="0.25">
      <c r="A213" s="16" t="s">
        <v>512</v>
      </c>
      <c r="B213" s="40" t="s">
        <v>510</v>
      </c>
      <c r="C213" s="19"/>
      <c r="D213" s="17"/>
      <c r="E213" s="17"/>
      <c r="F213" s="17"/>
      <c r="G213" s="17"/>
      <c r="H213" s="40" t="s">
        <v>510</v>
      </c>
      <c r="I213" s="18" t="s">
        <v>515</v>
      </c>
      <c r="J213" s="18">
        <v>1</v>
      </c>
      <c r="K213" s="18">
        <v>1</v>
      </c>
      <c r="L213" s="37">
        <v>678</v>
      </c>
      <c r="M213" s="18">
        <v>5</v>
      </c>
      <c r="N213" s="38">
        <f t="shared" si="124"/>
        <v>33.899999999999977</v>
      </c>
      <c r="O213" s="37">
        <f t="shared" si="125"/>
        <v>711.9</v>
      </c>
      <c r="P213" s="18" t="s">
        <v>518</v>
      </c>
      <c r="Q213" s="75" t="s">
        <v>517</v>
      </c>
      <c r="R213" s="3"/>
      <c r="S213" s="3"/>
      <c r="T213" s="3"/>
      <c r="U213" s="42">
        <f t="shared" si="126"/>
        <v>678</v>
      </c>
      <c r="V213" s="42">
        <f t="shared" si="127"/>
        <v>711.9</v>
      </c>
      <c r="W213" s="3"/>
      <c r="X213" s="3"/>
      <c r="Y213" s="3"/>
      <c r="Z213" s="3"/>
      <c r="AA213" s="3"/>
      <c r="AB213" s="3"/>
      <c r="AC213" s="3"/>
      <c r="AD213" s="3"/>
      <c r="AE213" s="3"/>
      <c r="AF213" s="3"/>
    </row>
    <row r="214" spans="1:32" customFormat="1" ht="64.2" customHeight="1" x14ac:dyDescent="0.25">
      <c r="A214" s="16" t="s">
        <v>513</v>
      </c>
      <c r="B214" s="40" t="s">
        <v>520</v>
      </c>
      <c r="C214" s="19"/>
      <c r="D214" s="17"/>
      <c r="E214" s="17"/>
      <c r="F214" s="17"/>
      <c r="G214" s="17"/>
      <c r="H214" s="40" t="s">
        <v>520</v>
      </c>
      <c r="I214" s="18" t="s">
        <v>515</v>
      </c>
      <c r="J214" s="18">
        <v>1</v>
      </c>
      <c r="K214" s="18">
        <v>1</v>
      </c>
      <c r="L214" s="37">
        <v>678</v>
      </c>
      <c r="M214" s="18">
        <v>5</v>
      </c>
      <c r="N214" s="38">
        <f t="shared" si="124"/>
        <v>33.899999999999977</v>
      </c>
      <c r="O214" s="37">
        <f t="shared" si="125"/>
        <v>711.9</v>
      </c>
      <c r="P214" s="18" t="s">
        <v>518</v>
      </c>
      <c r="Q214" s="75" t="s">
        <v>521</v>
      </c>
      <c r="R214" s="3"/>
      <c r="S214" s="3"/>
      <c r="T214" s="3"/>
      <c r="U214" s="42">
        <f t="shared" si="126"/>
        <v>678</v>
      </c>
      <c r="V214" s="42">
        <f t="shared" si="127"/>
        <v>711.9</v>
      </c>
      <c r="W214" s="3"/>
      <c r="X214" s="3"/>
      <c r="Y214" s="3"/>
      <c r="Z214" s="3"/>
      <c r="AA214" s="3"/>
      <c r="AB214" s="3"/>
      <c r="AC214" s="3"/>
      <c r="AD214" s="3"/>
      <c r="AE214" s="3"/>
      <c r="AF214" s="3"/>
    </row>
    <row r="215" spans="1:32" customFormat="1" ht="64.2" customHeight="1" x14ac:dyDescent="0.25">
      <c r="A215" s="16" t="s">
        <v>514</v>
      </c>
      <c r="B215" s="40" t="s">
        <v>511</v>
      </c>
      <c r="C215" s="19"/>
      <c r="D215" s="17"/>
      <c r="E215" s="17"/>
      <c r="F215" s="17"/>
      <c r="G215" s="17"/>
      <c r="H215" s="40" t="s">
        <v>511</v>
      </c>
      <c r="I215" s="18" t="s">
        <v>515</v>
      </c>
      <c r="J215" s="18">
        <v>1</v>
      </c>
      <c r="K215" s="18">
        <v>1</v>
      </c>
      <c r="L215" s="37">
        <v>678</v>
      </c>
      <c r="M215" s="18">
        <v>5</v>
      </c>
      <c r="N215" s="38">
        <f t="shared" si="124"/>
        <v>33.899999999999977</v>
      </c>
      <c r="O215" s="37">
        <f t="shared" si="125"/>
        <v>711.9</v>
      </c>
      <c r="P215" s="18" t="s">
        <v>519</v>
      </c>
      <c r="Q215" s="75" t="s">
        <v>516</v>
      </c>
      <c r="R215" s="3"/>
      <c r="S215" s="3"/>
      <c r="T215" s="3"/>
      <c r="U215" s="42">
        <f t="shared" si="126"/>
        <v>678</v>
      </c>
      <c r="V215" s="42">
        <f t="shared" si="127"/>
        <v>711.9</v>
      </c>
      <c r="W215" s="3"/>
      <c r="X215" s="3"/>
      <c r="Y215" s="3"/>
      <c r="Z215" s="3"/>
      <c r="AA215" s="3"/>
      <c r="AB215" s="3"/>
      <c r="AC215" s="3"/>
      <c r="AD215" s="3"/>
      <c r="AE215" s="3"/>
      <c r="AF215" s="3"/>
    </row>
    <row r="216" spans="1:32" customFormat="1" ht="64.2" customHeight="1" x14ac:dyDescent="0.25">
      <c r="A216" s="16" t="s">
        <v>508</v>
      </c>
      <c r="B216" s="40" t="s">
        <v>194</v>
      </c>
      <c r="C216" s="19"/>
      <c r="D216" s="17"/>
      <c r="E216" s="17"/>
      <c r="F216" s="17"/>
      <c r="G216" s="17"/>
      <c r="H216" s="18" t="s">
        <v>197</v>
      </c>
      <c r="I216" s="18" t="s">
        <v>185</v>
      </c>
      <c r="J216" s="18">
        <v>0.1</v>
      </c>
      <c r="K216" s="18" t="s">
        <v>198</v>
      </c>
      <c r="L216" s="37">
        <v>183.2</v>
      </c>
      <c r="M216" s="18">
        <v>5</v>
      </c>
      <c r="N216" s="38">
        <f t="shared" ref="N216:N217" si="128">SUM(O216-L216)</f>
        <v>9.1599999999999966</v>
      </c>
      <c r="O216" s="37">
        <f t="shared" ref="O216:O217" si="129">SUM(L216*1.05)</f>
        <v>192.35999999999999</v>
      </c>
      <c r="P216" s="18" t="s">
        <v>186</v>
      </c>
      <c r="Q216" s="75" t="s">
        <v>506</v>
      </c>
      <c r="R216" s="3"/>
      <c r="S216" s="3"/>
      <c r="T216" s="3"/>
      <c r="U216" s="42">
        <f t="shared" si="126"/>
        <v>18.32</v>
      </c>
      <c r="V216" s="42">
        <f>SUM(J216*O216)</f>
        <v>19.236000000000001</v>
      </c>
      <c r="W216" s="3"/>
      <c r="X216" s="3"/>
      <c r="Y216" s="3"/>
      <c r="Z216" s="3"/>
      <c r="AA216" s="3"/>
      <c r="AB216" s="3"/>
      <c r="AC216" s="3"/>
      <c r="AD216" s="3"/>
      <c r="AE216" s="3"/>
      <c r="AF216" s="3"/>
    </row>
    <row r="217" spans="1:32" customFormat="1" ht="64.2" customHeight="1" x14ac:dyDescent="0.25">
      <c r="A217" s="16" t="s">
        <v>509</v>
      </c>
      <c r="B217" s="40" t="s">
        <v>195</v>
      </c>
      <c r="C217" s="19"/>
      <c r="D217" s="17"/>
      <c r="E217" s="17"/>
      <c r="F217" s="17"/>
      <c r="G217" s="17"/>
      <c r="H217" s="18" t="s">
        <v>197</v>
      </c>
      <c r="I217" s="18" t="s">
        <v>185</v>
      </c>
      <c r="J217" s="18">
        <v>0.1</v>
      </c>
      <c r="K217" s="18" t="s">
        <v>198</v>
      </c>
      <c r="L217" s="37">
        <v>183.2</v>
      </c>
      <c r="M217" s="18">
        <v>5</v>
      </c>
      <c r="N217" s="38">
        <f t="shared" si="128"/>
        <v>9.1599999999999966</v>
      </c>
      <c r="O217" s="37">
        <f t="shared" si="129"/>
        <v>192.35999999999999</v>
      </c>
      <c r="P217" s="18" t="s">
        <v>186</v>
      </c>
      <c r="Q217" s="75" t="s">
        <v>507</v>
      </c>
      <c r="R217" s="3"/>
      <c r="S217" s="3"/>
      <c r="T217" s="3"/>
      <c r="U217" s="42">
        <f t="shared" si="126"/>
        <v>18.32</v>
      </c>
      <c r="V217" s="42">
        <f t="shared" si="127"/>
        <v>19.236000000000001</v>
      </c>
      <c r="W217" s="3"/>
      <c r="X217" s="3"/>
      <c r="Y217" s="3"/>
      <c r="Z217" s="3"/>
      <c r="AA217" s="3"/>
      <c r="AB217" s="3"/>
      <c r="AC217" s="3"/>
      <c r="AD217" s="3"/>
      <c r="AE217" s="3"/>
      <c r="AF217" s="3"/>
    </row>
    <row r="218" spans="1:32" customFormat="1" ht="13.8" x14ac:dyDescent="0.25">
      <c r="A218" s="16" t="s">
        <v>2</v>
      </c>
      <c r="B218" s="26"/>
      <c r="C218" s="19"/>
      <c r="D218" s="17"/>
      <c r="E218" s="17"/>
      <c r="F218" s="17"/>
      <c r="G218" s="17"/>
      <c r="H218" s="17"/>
      <c r="I218" s="17"/>
      <c r="J218" s="17"/>
      <c r="K218" s="17"/>
      <c r="L218" s="17"/>
      <c r="M218" s="17"/>
      <c r="N218" s="17"/>
      <c r="O218" s="17"/>
      <c r="P218" s="17"/>
      <c r="Q218" s="17"/>
      <c r="R218" s="3"/>
      <c r="S218" s="3"/>
      <c r="T218" s="53" t="s">
        <v>596</v>
      </c>
      <c r="U218" s="44">
        <f>SUM(U205:U217)</f>
        <v>4582.6399999999994</v>
      </c>
      <c r="V218" s="44">
        <f>SUM(V205:V217)</f>
        <v>4811.7719999999999</v>
      </c>
      <c r="W218" s="3"/>
      <c r="X218" s="3"/>
      <c r="Y218" s="3"/>
      <c r="Z218" s="3"/>
      <c r="AA218" s="3"/>
      <c r="AB218" s="3"/>
      <c r="AC218" s="3"/>
      <c r="AD218" s="3"/>
      <c r="AE218" s="3"/>
      <c r="AF218" s="3"/>
    </row>
    <row r="219" spans="1:32" customFormat="1" ht="46.2" customHeight="1" x14ac:dyDescent="0.25">
      <c r="A219" s="15" t="s">
        <v>132</v>
      </c>
      <c r="B219" s="25" t="s">
        <v>139</v>
      </c>
      <c r="C219" s="27">
        <v>160000</v>
      </c>
      <c r="D219" s="18">
        <f>SUM(E219/C219)</f>
        <v>1.8270795436787002E-2</v>
      </c>
      <c r="E219" s="83">
        <f>SUM(U220+(W223*C219)+(W233*C219))</f>
        <v>2923.32726988592</v>
      </c>
      <c r="F219" s="56" t="s">
        <v>593</v>
      </c>
      <c r="G219" s="83">
        <f>SUM(V220+(X223*C219)+(X233*C219))</f>
        <v>3326.7831148616974</v>
      </c>
      <c r="H219" s="17"/>
      <c r="I219" s="17"/>
      <c r="J219" s="17"/>
      <c r="K219" s="17"/>
      <c r="L219" s="17"/>
      <c r="M219" s="17"/>
      <c r="N219" s="17"/>
      <c r="O219" s="17"/>
      <c r="P219" s="17"/>
      <c r="Q219" s="17"/>
      <c r="R219" s="3"/>
      <c r="S219" s="3"/>
      <c r="T219" s="3"/>
      <c r="U219" s="3"/>
      <c r="V219" s="3"/>
      <c r="W219" s="3"/>
      <c r="X219" s="3"/>
      <c r="Y219" s="3"/>
      <c r="Z219" s="3"/>
      <c r="AA219" s="3"/>
      <c r="AB219" s="3"/>
      <c r="AC219" s="3"/>
      <c r="AD219" s="3"/>
      <c r="AE219" s="3"/>
      <c r="AF219" s="3"/>
    </row>
    <row r="220" spans="1:32" customFormat="1" ht="64.2" customHeight="1" x14ac:dyDescent="0.25">
      <c r="A220" s="16" t="s">
        <v>133</v>
      </c>
      <c r="B220" s="59" t="s">
        <v>523</v>
      </c>
      <c r="C220" s="19"/>
      <c r="D220" s="17"/>
      <c r="E220" s="17"/>
      <c r="F220" s="17"/>
      <c r="G220" s="17"/>
      <c r="H220" s="39" t="s">
        <v>523</v>
      </c>
      <c r="I220" s="18" t="s">
        <v>185</v>
      </c>
      <c r="J220" s="18">
        <v>4</v>
      </c>
      <c r="K220" s="18" t="s">
        <v>599</v>
      </c>
      <c r="L220" s="37">
        <v>220</v>
      </c>
      <c r="M220" s="18">
        <v>5</v>
      </c>
      <c r="N220" s="37">
        <f>SUM(O220-L220)</f>
        <v>11</v>
      </c>
      <c r="O220" s="37">
        <f>SUM(L220*1.05)</f>
        <v>231</v>
      </c>
      <c r="P220" s="18" t="s">
        <v>186</v>
      </c>
      <c r="Q220" s="39" t="s">
        <v>537</v>
      </c>
      <c r="R220" s="53"/>
      <c r="S220" s="53"/>
      <c r="T220" s="86" t="s">
        <v>596</v>
      </c>
      <c r="U220" s="42">
        <f>SUM(J220*L220)</f>
        <v>880</v>
      </c>
      <c r="V220" s="42">
        <f>SUM(J220*O220)</f>
        <v>924</v>
      </c>
      <c r="W220" s="3"/>
      <c r="X220" s="3"/>
      <c r="Y220" s="3"/>
      <c r="Z220" s="3"/>
      <c r="AA220" s="3"/>
      <c r="AB220" s="3"/>
      <c r="AC220" s="3"/>
      <c r="AD220" s="3"/>
      <c r="AE220" s="3"/>
      <c r="AF220" s="3"/>
    </row>
    <row r="221" spans="1:32" customFormat="1" ht="42" customHeight="1" x14ac:dyDescent="0.25">
      <c r="A221" s="15" t="s">
        <v>134</v>
      </c>
      <c r="B221" s="25" t="s">
        <v>181</v>
      </c>
      <c r="C221" s="19"/>
      <c r="D221" s="17"/>
      <c r="E221" s="17"/>
      <c r="F221" s="17"/>
      <c r="G221" s="17"/>
      <c r="H221" s="17"/>
      <c r="I221" s="17"/>
      <c r="J221" s="17"/>
      <c r="K221" s="17"/>
      <c r="L221" s="17"/>
      <c r="M221" s="17"/>
      <c r="N221" s="17"/>
      <c r="O221" s="17"/>
      <c r="P221" s="17"/>
      <c r="Q221" s="17"/>
      <c r="R221" s="3"/>
      <c r="S221" s="3"/>
      <c r="T221" s="3"/>
      <c r="U221" s="3"/>
      <c r="V221" s="3"/>
      <c r="W221" s="3"/>
      <c r="X221" s="3"/>
      <c r="Y221" s="3"/>
      <c r="Z221" s="3"/>
      <c r="AA221" s="3"/>
      <c r="AB221" s="3"/>
      <c r="AC221" s="3"/>
      <c r="AD221" s="3"/>
      <c r="AE221" s="3"/>
      <c r="AF221" s="3"/>
    </row>
    <row r="222" spans="1:32" customFormat="1" ht="96" customHeight="1" x14ac:dyDescent="0.25">
      <c r="A222" s="16" t="s">
        <v>135</v>
      </c>
      <c r="B222" s="59" t="s">
        <v>336</v>
      </c>
      <c r="C222" s="19"/>
      <c r="D222" s="17"/>
      <c r="E222" s="17"/>
      <c r="F222" s="17"/>
      <c r="G222" s="17"/>
      <c r="H222" s="39" t="s">
        <v>336</v>
      </c>
      <c r="I222" s="18" t="s">
        <v>337</v>
      </c>
      <c r="J222" s="18">
        <v>120</v>
      </c>
      <c r="K222" s="18" t="s">
        <v>337</v>
      </c>
      <c r="L222" s="37">
        <v>18</v>
      </c>
      <c r="M222" s="18">
        <v>21</v>
      </c>
      <c r="N222" s="37">
        <f>SUM(O222-L222)</f>
        <v>3.7800000000000011</v>
      </c>
      <c r="O222" s="37">
        <f>SUM(L222*1.21)</f>
        <v>21.78</v>
      </c>
      <c r="P222" s="18" t="s">
        <v>338</v>
      </c>
      <c r="Q222" s="39" t="s">
        <v>339</v>
      </c>
      <c r="R222" s="53"/>
      <c r="S222" s="53"/>
      <c r="T222" s="86" t="s">
        <v>596</v>
      </c>
      <c r="U222" s="72">
        <f>SUM(J222*L222)</f>
        <v>2160</v>
      </c>
      <c r="V222" s="72">
        <f>SUM(J222*O222)</f>
        <v>2613.6000000000004</v>
      </c>
      <c r="W222" s="3"/>
      <c r="X222" s="3"/>
      <c r="Y222" s="3"/>
      <c r="Z222" s="3"/>
      <c r="AA222" s="3"/>
      <c r="AB222" s="3"/>
      <c r="AC222" s="3"/>
      <c r="AD222" s="3"/>
      <c r="AE222" s="3"/>
      <c r="AF222" s="3"/>
    </row>
    <row r="223" spans="1:32" customFormat="1" ht="15.75" customHeight="1" x14ac:dyDescent="0.25">
      <c r="A223" s="16"/>
      <c r="B223" s="71"/>
      <c r="C223" s="19"/>
      <c r="D223" s="17"/>
      <c r="E223" s="17"/>
      <c r="F223" s="17"/>
      <c r="G223" s="17"/>
      <c r="H223" s="17"/>
      <c r="I223" s="17"/>
      <c r="J223" s="17"/>
      <c r="K223" s="17"/>
      <c r="L223" s="17"/>
      <c r="M223" s="17"/>
      <c r="N223" s="17"/>
      <c r="O223" s="17"/>
      <c r="P223" s="17"/>
      <c r="Q223" s="17"/>
      <c r="R223" s="3"/>
      <c r="S223" s="3"/>
      <c r="T223" s="3"/>
      <c r="U223" s="42"/>
      <c r="V223" s="42"/>
      <c r="W223" s="53">
        <f>U222/B234</f>
        <v>6.7510548523206752E-3</v>
      </c>
      <c r="X223" s="53">
        <f>V222/B234</f>
        <v>8.1687763713080182E-3</v>
      </c>
      <c r="Y223" s="3"/>
      <c r="Z223" s="3"/>
      <c r="AA223" s="3"/>
      <c r="AB223" s="3"/>
      <c r="AC223" s="3"/>
      <c r="AD223" s="3"/>
      <c r="AE223" s="3"/>
      <c r="AF223" s="3"/>
    </row>
    <row r="224" spans="1:32" customFormat="1" ht="15.75" customHeight="1" x14ac:dyDescent="0.25">
      <c r="A224" s="16"/>
      <c r="B224" s="71"/>
      <c r="C224" s="19"/>
      <c r="D224" s="17"/>
      <c r="E224" s="17"/>
      <c r="F224" s="17"/>
      <c r="G224" s="17"/>
      <c r="H224" s="17"/>
      <c r="I224" s="17"/>
      <c r="J224" s="17"/>
      <c r="K224" s="17"/>
      <c r="L224" s="17"/>
      <c r="M224" s="17"/>
      <c r="N224" s="17"/>
      <c r="O224" s="17"/>
      <c r="P224" s="17"/>
      <c r="Q224" s="17"/>
      <c r="R224" s="3"/>
      <c r="S224" s="3"/>
      <c r="T224" s="3"/>
      <c r="U224" s="47"/>
      <c r="V224" s="47"/>
      <c r="W224" s="3"/>
      <c r="X224" s="3"/>
      <c r="Y224" s="3"/>
      <c r="Z224" s="3"/>
      <c r="AA224" s="3"/>
      <c r="AB224" s="3"/>
      <c r="AC224" s="3"/>
      <c r="AD224" s="3"/>
      <c r="AE224" s="3"/>
      <c r="AF224" s="3"/>
    </row>
    <row r="225" spans="1:32" customFormat="1" ht="15.75" customHeight="1" x14ac:dyDescent="0.25">
      <c r="A225" s="16"/>
      <c r="B225" s="71"/>
      <c r="C225" s="19"/>
      <c r="D225" s="17"/>
      <c r="E225" s="17"/>
      <c r="F225" s="17"/>
      <c r="G225" s="17"/>
      <c r="H225" s="17"/>
      <c r="I225" s="17"/>
      <c r="J225" s="17"/>
      <c r="K225" s="17"/>
      <c r="L225" s="17"/>
      <c r="M225" s="17"/>
      <c r="N225" s="17"/>
      <c r="O225" s="17"/>
      <c r="P225" s="17"/>
      <c r="Q225" s="17"/>
      <c r="R225" s="3"/>
      <c r="S225" s="3"/>
      <c r="T225" s="3"/>
      <c r="U225" s="47"/>
      <c r="V225" s="47"/>
      <c r="W225" s="3"/>
      <c r="X225" s="3"/>
      <c r="Y225" s="3"/>
      <c r="Z225" s="3"/>
      <c r="AA225" s="3"/>
      <c r="AB225" s="3"/>
      <c r="AC225" s="3"/>
      <c r="AD225" s="3"/>
      <c r="AE225" s="3"/>
      <c r="AF225" s="3"/>
    </row>
    <row r="226" spans="1:32" customFormat="1" ht="25.5" customHeight="1" x14ac:dyDescent="0.25">
      <c r="A226" s="31" t="s">
        <v>179</v>
      </c>
      <c r="B226" s="32" t="s">
        <v>63</v>
      </c>
      <c r="C226" s="19"/>
      <c r="D226" s="17"/>
      <c r="E226" s="17"/>
      <c r="F226" s="17"/>
      <c r="G226" s="17"/>
      <c r="H226" s="17"/>
      <c r="I226" s="17"/>
      <c r="J226" s="17"/>
      <c r="K226" s="17"/>
      <c r="L226" s="17"/>
      <c r="M226" s="17"/>
      <c r="N226" s="17"/>
      <c r="O226" s="17"/>
      <c r="P226" s="17"/>
      <c r="Q226" s="17"/>
      <c r="R226" s="3"/>
      <c r="S226" s="3"/>
      <c r="T226" s="3"/>
      <c r="U226" s="3"/>
      <c r="V226" s="3"/>
      <c r="W226" s="3"/>
      <c r="X226" s="3"/>
      <c r="Y226" s="3"/>
      <c r="Z226" s="3"/>
      <c r="AA226" s="3"/>
      <c r="AB226" s="3"/>
      <c r="AC226" s="3"/>
      <c r="AD226" s="3"/>
      <c r="AE226" s="3"/>
      <c r="AF226" s="3"/>
    </row>
    <row r="227" spans="1:32" customFormat="1" ht="44.25" customHeight="1" x14ac:dyDescent="0.25">
      <c r="A227" s="31" t="s">
        <v>180</v>
      </c>
      <c r="B227" s="61" t="s">
        <v>542</v>
      </c>
      <c r="C227" s="19"/>
      <c r="D227" s="17"/>
      <c r="E227" s="17"/>
      <c r="F227" s="17"/>
      <c r="G227" s="17"/>
      <c r="H227" s="61" t="s">
        <v>542</v>
      </c>
      <c r="I227" s="46" t="s">
        <v>568</v>
      </c>
      <c r="J227" s="46">
        <v>16</v>
      </c>
      <c r="K227" s="46" t="s">
        <v>548</v>
      </c>
      <c r="L227" s="64">
        <v>20</v>
      </c>
      <c r="M227" s="46">
        <v>5</v>
      </c>
      <c r="N227" s="65">
        <f>SUM(O227-L227)</f>
        <v>1</v>
      </c>
      <c r="O227" s="64">
        <f>SUM(L227*1.05)</f>
        <v>21</v>
      </c>
      <c r="P227" s="46" t="s">
        <v>566</v>
      </c>
      <c r="Q227" s="75" t="s">
        <v>547</v>
      </c>
      <c r="R227" s="53"/>
      <c r="S227" s="53"/>
      <c r="T227" s="53"/>
      <c r="U227" s="42">
        <f>SUM(J227*L227)</f>
        <v>320</v>
      </c>
      <c r="V227" s="42">
        <f>SUM(J227*O227)</f>
        <v>336</v>
      </c>
      <c r="W227" s="3"/>
      <c r="X227" s="3"/>
      <c r="Y227" s="3"/>
      <c r="Z227" s="3"/>
      <c r="AA227" s="3"/>
      <c r="AB227" s="3"/>
      <c r="AC227" s="3"/>
      <c r="AD227" s="3"/>
      <c r="AE227" s="3"/>
      <c r="AF227" s="3"/>
    </row>
    <row r="228" spans="1:32" customFormat="1" ht="44.25" customHeight="1" x14ac:dyDescent="0.25">
      <c r="A228" s="31" t="s">
        <v>539</v>
      </c>
      <c r="B228" s="61" t="s">
        <v>543</v>
      </c>
      <c r="C228" s="19"/>
      <c r="D228" s="17"/>
      <c r="E228" s="17"/>
      <c r="F228" s="17"/>
      <c r="G228" s="17"/>
      <c r="H228" s="61" t="s">
        <v>543</v>
      </c>
      <c r="I228" s="46" t="s">
        <v>568</v>
      </c>
      <c r="J228" s="46">
        <v>8</v>
      </c>
      <c r="K228" s="46" t="s">
        <v>549</v>
      </c>
      <c r="L228" s="64">
        <v>54.8</v>
      </c>
      <c r="M228" s="46">
        <v>5</v>
      </c>
      <c r="N228" s="65">
        <f t="shared" ref="N228:N232" si="130">SUM(O228-L228)</f>
        <v>2.740000000000002</v>
      </c>
      <c r="O228" s="64">
        <f t="shared" ref="O228:O229" si="131">SUM(L228*1.05)</f>
        <v>57.54</v>
      </c>
      <c r="P228" s="46" t="s">
        <v>566</v>
      </c>
      <c r="Q228" s="75" t="s">
        <v>546</v>
      </c>
      <c r="R228" s="53"/>
      <c r="S228" s="53"/>
      <c r="T228" s="53"/>
      <c r="U228" s="42">
        <f t="shared" ref="U228:U232" si="132">SUM(J228*L228)</f>
        <v>438.4</v>
      </c>
      <c r="V228" s="42">
        <f t="shared" ref="V228:V232" si="133">SUM(J228*O228)</f>
        <v>460.32</v>
      </c>
      <c r="W228" s="3"/>
      <c r="X228" s="3"/>
      <c r="Y228" s="3"/>
      <c r="Z228" s="3"/>
      <c r="AA228" s="3"/>
      <c r="AB228" s="3"/>
      <c r="AC228" s="3"/>
      <c r="AD228" s="3"/>
      <c r="AE228" s="3"/>
      <c r="AF228" s="3"/>
    </row>
    <row r="229" spans="1:32" customFormat="1" ht="44.25" customHeight="1" x14ac:dyDescent="0.25">
      <c r="A229" s="31" t="s">
        <v>540</v>
      </c>
      <c r="B229" s="61" t="s">
        <v>550</v>
      </c>
      <c r="C229" s="19"/>
      <c r="D229" s="17"/>
      <c r="E229" s="17"/>
      <c r="F229" s="17"/>
      <c r="G229" s="17"/>
      <c r="H229" s="61" t="s">
        <v>550</v>
      </c>
      <c r="I229" s="46" t="s">
        <v>185</v>
      </c>
      <c r="J229" s="46">
        <v>4</v>
      </c>
      <c r="K229" s="46" t="s">
        <v>553</v>
      </c>
      <c r="L229" s="64">
        <v>28</v>
      </c>
      <c r="M229" s="46">
        <v>5</v>
      </c>
      <c r="N229" s="65">
        <f t="shared" si="130"/>
        <v>1.4000000000000021</v>
      </c>
      <c r="O229" s="64">
        <f t="shared" si="131"/>
        <v>29.400000000000002</v>
      </c>
      <c r="P229" s="46" t="s">
        <v>566</v>
      </c>
      <c r="Q229" s="75" t="s">
        <v>554</v>
      </c>
      <c r="R229" s="53"/>
      <c r="S229" s="53"/>
      <c r="T229" s="53"/>
      <c r="U229" s="42">
        <f t="shared" si="132"/>
        <v>112</v>
      </c>
      <c r="V229" s="42">
        <f t="shared" si="133"/>
        <v>117.60000000000001</v>
      </c>
      <c r="W229" s="3"/>
      <c r="X229" s="3"/>
      <c r="Y229" s="3"/>
      <c r="Z229" s="3"/>
      <c r="AA229" s="3"/>
      <c r="AB229" s="3"/>
      <c r="AC229" s="3"/>
      <c r="AD229" s="3"/>
      <c r="AE229" s="3"/>
      <c r="AF229" s="3"/>
    </row>
    <row r="230" spans="1:32" customFormat="1" ht="36.6" customHeight="1" x14ac:dyDescent="0.25">
      <c r="A230" s="31" t="s">
        <v>541</v>
      </c>
      <c r="B230" s="61" t="s">
        <v>603</v>
      </c>
      <c r="C230" s="19"/>
      <c r="D230" s="17"/>
      <c r="E230" s="17"/>
      <c r="F230" s="17"/>
      <c r="G230" s="17"/>
      <c r="H230" s="61" t="s">
        <v>603</v>
      </c>
      <c r="I230" s="46" t="s">
        <v>564</v>
      </c>
      <c r="J230" s="46">
        <v>12</v>
      </c>
      <c r="K230" s="46" t="s">
        <v>185</v>
      </c>
      <c r="L230" s="64">
        <v>5</v>
      </c>
      <c r="M230" s="46">
        <v>21</v>
      </c>
      <c r="N230" s="65">
        <f t="shared" si="130"/>
        <v>1.0499999999999998</v>
      </c>
      <c r="O230" s="64">
        <f>SUM(L230*1.21)</f>
        <v>6.05</v>
      </c>
      <c r="P230" s="46" t="s">
        <v>566</v>
      </c>
      <c r="Q230" s="87" t="s">
        <v>602</v>
      </c>
      <c r="R230" s="53"/>
      <c r="S230" s="53"/>
      <c r="T230" s="53"/>
      <c r="U230" s="42">
        <f t="shared" si="132"/>
        <v>60</v>
      </c>
      <c r="V230" s="42">
        <f t="shared" si="133"/>
        <v>72.599999999999994</v>
      </c>
      <c r="W230" s="3"/>
      <c r="X230" s="3"/>
      <c r="Y230" s="3"/>
      <c r="Z230" s="3"/>
      <c r="AA230" s="3"/>
      <c r="AB230" s="3"/>
      <c r="AC230" s="3"/>
      <c r="AD230" s="3"/>
      <c r="AE230" s="3"/>
      <c r="AF230" s="3"/>
    </row>
    <row r="231" spans="1:32" customFormat="1" ht="57.75" customHeight="1" x14ac:dyDescent="0.25">
      <c r="A231" s="31" t="s">
        <v>551</v>
      </c>
      <c r="B231" s="61" t="s">
        <v>544</v>
      </c>
      <c r="C231" s="19"/>
      <c r="D231" s="17"/>
      <c r="E231" s="17"/>
      <c r="F231" s="17"/>
      <c r="G231" s="17"/>
      <c r="H231" s="61" t="s">
        <v>601</v>
      </c>
      <c r="I231" s="46" t="s">
        <v>568</v>
      </c>
      <c r="J231" s="46">
        <v>1.44</v>
      </c>
      <c r="K231" s="46" t="s">
        <v>565</v>
      </c>
      <c r="L231" s="64">
        <v>345.7</v>
      </c>
      <c r="M231" s="46">
        <v>21</v>
      </c>
      <c r="N231" s="65">
        <f t="shared" si="130"/>
        <v>72.59699999999998</v>
      </c>
      <c r="O231" s="64">
        <f>SUM(L231*1.21)</f>
        <v>418.29699999999997</v>
      </c>
      <c r="P231" s="46" t="s">
        <v>567</v>
      </c>
      <c r="Q231" s="63" t="s">
        <v>562</v>
      </c>
      <c r="R231" s="53"/>
      <c r="S231" s="53"/>
      <c r="T231" s="53"/>
      <c r="U231" s="42">
        <f t="shared" si="132"/>
        <v>497.80799999999999</v>
      </c>
      <c r="V231" s="42">
        <f t="shared" si="133"/>
        <v>602.34767999999997</v>
      </c>
      <c r="W231" s="3"/>
      <c r="X231" s="3"/>
      <c r="Y231" s="3"/>
      <c r="Z231" s="3"/>
      <c r="AA231" s="3"/>
      <c r="AB231" s="3"/>
      <c r="AC231" s="3"/>
      <c r="AD231" s="3"/>
      <c r="AE231" s="3"/>
      <c r="AF231" s="3"/>
    </row>
    <row r="232" spans="1:32" customFormat="1" ht="53.25" customHeight="1" x14ac:dyDescent="0.25">
      <c r="A232" s="31" t="s">
        <v>552</v>
      </c>
      <c r="B232" s="61" t="s">
        <v>545</v>
      </c>
      <c r="C232" s="19"/>
      <c r="D232" s="17"/>
      <c r="E232" s="17"/>
      <c r="F232" s="17"/>
      <c r="G232" s="17"/>
      <c r="H232" s="61" t="s">
        <v>545</v>
      </c>
      <c r="I232" s="46" t="s">
        <v>568</v>
      </c>
      <c r="J232" s="46">
        <v>1.44</v>
      </c>
      <c r="K232" s="46" t="s">
        <v>565</v>
      </c>
      <c r="L232" s="64">
        <v>345.7</v>
      </c>
      <c r="M232" s="46">
        <v>21</v>
      </c>
      <c r="N232" s="65">
        <f t="shared" si="130"/>
        <v>72.59699999999998</v>
      </c>
      <c r="O232" s="64">
        <f>SUM(L232*1.21)</f>
        <v>418.29699999999997</v>
      </c>
      <c r="P232" s="46" t="s">
        <v>567</v>
      </c>
      <c r="Q232" s="63" t="s">
        <v>563</v>
      </c>
      <c r="R232" s="53"/>
      <c r="S232" s="53"/>
      <c r="T232" s="53"/>
      <c r="U232" s="42">
        <f t="shared" si="132"/>
        <v>497.80799999999999</v>
      </c>
      <c r="V232" s="42">
        <f t="shared" si="133"/>
        <v>602.34767999999997</v>
      </c>
      <c r="W232" s="3"/>
      <c r="X232" s="3"/>
      <c r="Y232" s="3"/>
      <c r="Z232" s="3"/>
      <c r="AA232" s="3"/>
      <c r="AB232" s="3"/>
      <c r="AC232" s="3"/>
      <c r="AD232" s="3"/>
      <c r="AE232" s="3"/>
      <c r="AF232" s="3"/>
    </row>
    <row r="233" spans="1:32" customFormat="1" ht="15" customHeight="1" x14ac:dyDescent="0.25">
      <c r="A233" s="31"/>
      <c r="B233" s="66"/>
      <c r="C233" s="19"/>
      <c r="D233" s="17"/>
      <c r="E233" s="17"/>
      <c r="F233" s="17"/>
      <c r="G233" s="17"/>
      <c r="H233" s="17"/>
      <c r="I233" s="17"/>
      <c r="J233" s="17"/>
      <c r="K233" s="17"/>
      <c r="L233" s="17"/>
      <c r="M233" s="17"/>
      <c r="N233" s="17"/>
      <c r="O233" s="17"/>
      <c r="P233" s="17"/>
      <c r="Q233" s="17"/>
      <c r="R233" s="3"/>
      <c r="S233" s="3"/>
      <c r="T233" s="53" t="s">
        <v>596</v>
      </c>
      <c r="U233" s="42">
        <f>SUM(U227:U232)</f>
        <v>1926.0160000000001</v>
      </c>
      <c r="V233" s="42">
        <f>SUM(V227:V232)</f>
        <v>2191.2153599999997</v>
      </c>
      <c r="W233" s="70">
        <f>U233/B234</f>
        <v>6.0197405844663234E-3</v>
      </c>
      <c r="X233" s="70">
        <f>V233/B234</f>
        <v>6.8486180965775896E-3</v>
      </c>
      <c r="Y233" s="3"/>
      <c r="Z233" s="3"/>
      <c r="AA233" s="3"/>
      <c r="AB233" s="3"/>
      <c r="AC233" s="3"/>
      <c r="AD233" s="3"/>
      <c r="AE233" s="3"/>
      <c r="AF233" s="3"/>
    </row>
    <row r="234" spans="1:32" customFormat="1" ht="13.8" x14ac:dyDescent="0.25">
      <c r="A234" s="76" t="s">
        <v>569</v>
      </c>
      <c r="B234" s="77">
        <f>SUM(C12+C18+C24+C30+C36+C42+C48+C54+C61+C67+C73+C78+C83+C89+C95+C101+C108+C115+C122+C129+C136+C142+C148+C154+C160+C166+C173+C180+C186+C192+C198+C204+C219)</f>
        <v>319950</v>
      </c>
      <c r="C234" s="19"/>
      <c r="D234" s="17"/>
      <c r="E234" s="17"/>
      <c r="F234" s="17"/>
      <c r="G234" s="17"/>
      <c r="H234" s="17"/>
      <c r="I234" s="17"/>
      <c r="J234" s="17"/>
      <c r="K234" s="17"/>
      <c r="L234" s="17"/>
      <c r="M234" s="17"/>
      <c r="N234" s="17"/>
      <c r="O234" s="17"/>
      <c r="P234" s="17"/>
      <c r="Q234" s="17"/>
      <c r="R234" s="3"/>
      <c r="S234" s="3"/>
      <c r="T234" s="3"/>
      <c r="U234" s="3"/>
      <c r="V234" s="3"/>
      <c r="W234" s="3"/>
      <c r="X234" s="3"/>
      <c r="Y234" s="3"/>
      <c r="Z234" s="3"/>
      <c r="AA234" s="3"/>
      <c r="AB234" s="3"/>
      <c r="AC234" s="3"/>
      <c r="AD234" s="3"/>
      <c r="AE234" s="3"/>
      <c r="AF234" s="3"/>
    </row>
    <row r="235" spans="1:32" customFormat="1" ht="14.4" x14ac:dyDescent="0.25">
      <c r="A235" s="104" t="s">
        <v>25</v>
      </c>
      <c r="B235" s="105"/>
      <c r="C235" s="105"/>
      <c r="D235" s="106"/>
      <c r="E235" s="38">
        <f>SUM(E12+E18+E24+E30+E36+E42+E48+E54+E61+E67+E73+E78+E83+E89+E95+E101+E108+E115+E122+E129+E136+E142+E148+E154+E160+E166+E173+E180+E186+E192+E198+E204+E219)</f>
        <v>48408.961000000003</v>
      </c>
      <c r="F235" s="17"/>
      <c r="G235" s="17"/>
      <c r="H235" s="20"/>
      <c r="I235" s="20"/>
      <c r="J235" s="20"/>
      <c r="K235" s="20"/>
      <c r="L235" s="20"/>
      <c r="M235" s="20"/>
      <c r="N235" s="20"/>
      <c r="O235" s="20"/>
      <c r="P235" s="20"/>
      <c r="Q235" s="20"/>
      <c r="R235" s="3"/>
      <c r="S235" s="3"/>
      <c r="T235" s="53" t="s">
        <v>600</v>
      </c>
      <c r="U235" s="85">
        <f>SUM(U17+U23+U29+U35+U41+U47+U53+U60+U66+U72+U77+U82+U88+U94+U100+U107+U114+U121+U128+U135+U141+U147+U153+U159+U165+U172+U179+U185+U191+U197+U203+U218+U220+U222+U233)</f>
        <v>48408.960999999996</v>
      </c>
      <c r="V235" s="85">
        <f>SUM(V17+V23+V29+V35+V41+V47+V53+V60+V66+V72+V77+V82+V88+V94+V100+V107+V114+V121+V128+V135+V141+V147+V153+V159+V165+V172+V179+V185+V191+V197+V203+V218+V220+V222+V233)</f>
        <v>51343.907610000002</v>
      </c>
      <c r="W235" s="3"/>
      <c r="X235" s="3"/>
      <c r="Y235" s="3"/>
      <c r="Z235" s="3"/>
      <c r="AA235" s="3"/>
      <c r="AB235" s="3"/>
      <c r="AC235" s="3"/>
      <c r="AD235" s="3"/>
      <c r="AE235" s="3"/>
      <c r="AF235" s="3"/>
    </row>
    <row r="236" spans="1:32" customFormat="1" ht="14.4" x14ac:dyDescent="0.25">
      <c r="A236" s="104" t="s">
        <v>30</v>
      </c>
      <c r="B236" s="105"/>
      <c r="C236" s="105"/>
      <c r="D236" s="106"/>
      <c r="E236" s="17"/>
      <c r="F236" s="38">
        <f>SUM(G237-E235)</f>
        <v>2934.9466099999991</v>
      </c>
      <c r="G236" s="17"/>
      <c r="H236" s="20"/>
      <c r="I236" s="20"/>
      <c r="J236" s="20"/>
      <c r="K236" s="20"/>
      <c r="L236" s="20"/>
      <c r="M236" s="20"/>
      <c r="N236" s="20"/>
      <c r="O236" s="20"/>
      <c r="P236" s="20"/>
      <c r="Q236" s="20"/>
      <c r="R236" s="3"/>
      <c r="S236" s="3"/>
      <c r="T236" s="3"/>
      <c r="U236" s="3"/>
      <c r="V236" s="3"/>
      <c r="W236" s="3"/>
      <c r="X236" s="3"/>
      <c r="Y236" s="3"/>
      <c r="Z236" s="3"/>
      <c r="AA236" s="3"/>
      <c r="AB236" s="3"/>
      <c r="AC236" s="3"/>
      <c r="AD236" s="3"/>
      <c r="AE236" s="3"/>
      <c r="AF236" s="3"/>
    </row>
    <row r="237" spans="1:32" customFormat="1" ht="13.95" customHeight="1" x14ac:dyDescent="0.25">
      <c r="A237" s="104" t="s">
        <v>26</v>
      </c>
      <c r="B237" s="105"/>
      <c r="C237" s="105"/>
      <c r="D237" s="106"/>
      <c r="E237" s="17"/>
      <c r="F237" s="17"/>
      <c r="G237" s="38">
        <f>SUM(G12+G18+G24+G30+G36+G42+G48+G54+G61+G67+G73+G78+G83+G89+G95+G101+G108+G115+G122+G129+G136+G142+G148+G154+G160+G166+G173+G180+G186+G192+G198+G204+G219)</f>
        <v>51343.907610000002</v>
      </c>
      <c r="H237" s="20"/>
      <c r="I237" s="20"/>
      <c r="J237" s="20"/>
      <c r="K237" s="20"/>
      <c r="L237" s="20"/>
      <c r="M237" s="20"/>
      <c r="N237" s="20"/>
      <c r="O237" s="20"/>
      <c r="P237" s="20"/>
      <c r="Q237" s="20"/>
      <c r="R237" s="3"/>
      <c r="S237" s="3"/>
      <c r="T237" s="3"/>
      <c r="U237" s="3"/>
      <c r="V237" s="3"/>
      <c r="W237" s="3"/>
      <c r="X237" s="3"/>
      <c r="Y237" s="3"/>
      <c r="Z237" s="3"/>
      <c r="AA237" s="3"/>
      <c r="AB237" s="3"/>
      <c r="AC237" s="3"/>
      <c r="AD237" s="3"/>
      <c r="AE237" s="3"/>
      <c r="AF237" s="3"/>
    </row>
    <row r="238" spans="1:32"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x14ac:dyDescent="0.3">
      <c r="A239" s="107" t="s">
        <v>182</v>
      </c>
      <c r="B239" s="108"/>
      <c r="C239" s="108"/>
      <c r="D239" s="108"/>
      <c r="E239" s="108"/>
      <c r="F239" s="108"/>
      <c r="G239" s="108"/>
      <c r="H239" s="108"/>
      <c r="I239" s="108"/>
      <c r="J239" s="108"/>
      <c r="K239" s="108"/>
      <c r="L239" s="108"/>
      <c r="M239" s="108"/>
      <c r="N239" s="108"/>
      <c r="O239" s="108"/>
      <c r="P239" s="108"/>
      <c r="Q239" s="108"/>
      <c r="R239" s="1"/>
      <c r="S239" s="1"/>
      <c r="T239" s="1"/>
      <c r="U239" s="1"/>
      <c r="V239" s="1"/>
      <c r="W239" s="1"/>
      <c r="X239" s="1"/>
      <c r="Y239" s="1"/>
      <c r="Z239" s="1"/>
      <c r="AA239" s="1"/>
      <c r="AB239" s="1"/>
      <c r="AC239" s="1"/>
      <c r="AD239" s="1"/>
      <c r="AE239" s="1"/>
      <c r="AF239" s="1"/>
    </row>
    <row r="240" spans="1:32" x14ac:dyDescent="0.3">
      <c r="A240" s="108"/>
      <c r="B240" s="108"/>
      <c r="C240" s="108"/>
      <c r="D240" s="108"/>
      <c r="E240" s="108"/>
      <c r="F240" s="108"/>
      <c r="G240" s="108"/>
      <c r="H240" s="108"/>
      <c r="I240" s="108"/>
      <c r="J240" s="108"/>
      <c r="K240" s="108"/>
      <c r="L240" s="108"/>
      <c r="M240" s="108"/>
      <c r="N240" s="108"/>
      <c r="O240" s="108"/>
      <c r="P240" s="108"/>
      <c r="Q240" s="108"/>
      <c r="R240" s="1"/>
      <c r="S240" s="1"/>
      <c r="T240" s="1"/>
      <c r="U240" s="1"/>
      <c r="V240" s="1"/>
      <c r="W240" s="1"/>
      <c r="X240" s="1"/>
      <c r="Y240" s="1"/>
      <c r="Z240" s="1"/>
      <c r="AA240" s="1"/>
      <c r="AB240" s="1"/>
      <c r="AC240" s="1"/>
      <c r="AD240" s="1"/>
      <c r="AE240" s="1"/>
      <c r="AF240" s="1"/>
    </row>
    <row r="241" spans="1:32" x14ac:dyDescent="0.3">
      <c r="A241" s="108"/>
      <c r="B241" s="108"/>
      <c r="C241" s="108"/>
      <c r="D241" s="108"/>
      <c r="E241" s="108"/>
      <c r="F241" s="108"/>
      <c r="G241" s="108"/>
      <c r="H241" s="108"/>
      <c r="I241" s="108"/>
      <c r="J241" s="108"/>
      <c r="K241" s="108"/>
      <c r="L241" s="108"/>
      <c r="M241" s="108"/>
      <c r="N241" s="108"/>
      <c r="O241" s="108"/>
      <c r="P241" s="108"/>
      <c r="Q241" s="108"/>
      <c r="R241" s="6"/>
      <c r="S241" s="6"/>
      <c r="T241" s="6"/>
      <c r="U241" s="6"/>
      <c r="V241" s="6"/>
      <c r="W241" s="6"/>
      <c r="X241" s="6"/>
      <c r="Y241" s="6"/>
      <c r="Z241" s="6"/>
      <c r="AA241" s="6"/>
      <c r="AB241" s="6"/>
      <c r="AC241" s="6"/>
      <c r="AD241" s="6"/>
      <c r="AE241" s="6"/>
      <c r="AF241" s="6"/>
    </row>
    <row r="242" spans="1:32" x14ac:dyDescent="0.3">
      <c r="A242" s="108"/>
      <c r="B242" s="108"/>
      <c r="C242" s="108"/>
      <c r="D242" s="108"/>
      <c r="E242" s="108"/>
      <c r="F242" s="108"/>
      <c r="G242" s="108"/>
      <c r="H242" s="108"/>
      <c r="I242" s="108"/>
      <c r="J242" s="108"/>
      <c r="K242" s="108"/>
      <c r="L242" s="108"/>
      <c r="M242" s="108"/>
      <c r="N242" s="108"/>
      <c r="O242" s="108"/>
      <c r="P242" s="108"/>
      <c r="Q242" s="108"/>
      <c r="R242" s="6"/>
      <c r="S242" s="6"/>
      <c r="T242" s="6"/>
      <c r="U242" s="6"/>
      <c r="V242" s="6"/>
      <c r="W242" s="6"/>
      <c r="X242" s="6"/>
      <c r="Y242" s="6"/>
      <c r="Z242" s="6"/>
      <c r="AA242" s="6"/>
      <c r="AB242" s="6"/>
      <c r="AC242" s="6"/>
      <c r="AD242" s="6"/>
      <c r="AE242" s="6"/>
      <c r="AF242" s="6"/>
    </row>
    <row r="243" spans="1:32" x14ac:dyDescent="0.3">
      <c r="A243" s="108"/>
      <c r="B243" s="108"/>
      <c r="C243" s="108"/>
      <c r="D243" s="108"/>
      <c r="E243" s="108"/>
      <c r="F243" s="108"/>
      <c r="G243" s="108"/>
      <c r="H243" s="108"/>
      <c r="I243" s="108"/>
      <c r="J243" s="108"/>
      <c r="K243" s="108"/>
      <c r="L243" s="108"/>
      <c r="M243" s="108"/>
      <c r="N243" s="108"/>
      <c r="O243" s="108"/>
      <c r="P243" s="108"/>
      <c r="Q243" s="108"/>
      <c r="R243" s="6"/>
      <c r="S243" s="6"/>
      <c r="T243" s="6"/>
      <c r="U243" s="6"/>
      <c r="V243" s="6"/>
      <c r="W243" s="6"/>
      <c r="X243" s="6"/>
      <c r="Y243" s="6"/>
      <c r="Z243" s="6"/>
      <c r="AA243" s="6"/>
      <c r="AB243" s="6"/>
      <c r="AC243" s="6"/>
      <c r="AD243" s="6"/>
      <c r="AE243" s="6"/>
      <c r="AF243" s="6"/>
    </row>
    <row r="244" spans="1:32" ht="127.95" customHeight="1" x14ac:dyDescent="0.3">
      <c r="A244" s="108"/>
      <c r="B244" s="108"/>
      <c r="C244" s="108"/>
      <c r="D244" s="108"/>
      <c r="E244" s="108"/>
      <c r="F244" s="108"/>
      <c r="G244" s="108"/>
      <c r="H244" s="108"/>
      <c r="I244" s="108"/>
      <c r="J244" s="108"/>
      <c r="K244" s="108"/>
      <c r="L244" s="108"/>
      <c r="M244" s="108"/>
      <c r="N244" s="108"/>
      <c r="O244" s="108"/>
      <c r="P244" s="108"/>
      <c r="Q244" s="108"/>
      <c r="R244" s="6"/>
      <c r="S244" s="6"/>
      <c r="T244" s="6"/>
      <c r="U244" s="6"/>
      <c r="V244" s="6"/>
      <c r="W244" s="6"/>
      <c r="X244" s="6"/>
      <c r="Y244" s="6"/>
      <c r="Z244" s="6"/>
      <c r="AA244" s="6"/>
      <c r="AB244" s="6"/>
      <c r="AC244" s="6"/>
      <c r="AD244" s="6"/>
      <c r="AE244" s="6"/>
      <c r="AF244" s="6"/>
    </row>
    <row r="245" spans="1:32" s="6" customFormat="1" ht="30.6" customHeight="1" x14ac:dyDescent="0.3">
      <c r="A245" s="113" t="s">
        <v>50</v>
      </c>
      <c r="B245" s="113"/>
      <c r="C245" s="113"/>
      <c r="D245" s="113"/>
      <c r="E245" s="113"/>
      <c r="F245" s="113"/>
      <c r="G245" s="113"/>
      <c r="H245" s="113"/>
      <c r="I245" s="113"/>
      <c r="J245" s="113"/>
      <c r="K245" s="113"/>
      <c r="L245" s="113"/>
      <c r="M245" s="113"/>
    </row>
    <row r="246" spans="1:32" s="6" customFormat="1" ht="88.95" customHeight="1" x14ac:dyDescent="0.3">
      <c r="A246" s="28" t="s">
        <v>56</v>
      </c>
      <c r="B246" s="29" t="s">
        <v>57</v>
      </c>
      <c r="C246" s="113" t="s">
        <v>141</v>
      </c>
      <c r="D246" s="113"/>
      <c r="E246" s="113"/>
      <c r="F246" s="113"/>
      <c r="G246" s="113"/>
      <c r="H246" s="114" t="s">
        <v>58</v>
      </c>
      <c r="I246" s="114"/>
      <c r="J246" s="114"/>
      <c r="K246" s="114"/>
      <c r="L246" s="114"/>
      <c r="M246" s="115"/>
    </row>
    <row r="247" spans="1:32" s="6" customFormat="1" ht="30" customHeight="1" x14ac:dyDescent="0.3">
      <c r="A247" s="30" t="s">
        <v>11</v>
      </c>
      <c r="B247" s="109" t="s">
        <v>590</v>
      </c>
      <c r="C247" s="110"/>
      <c r="D247" s="110"/>
      <c r="E247" s="110"/>
      <c r="F247" s="110"/>
      <c r="G247" s="110"/>
      <c r="H247" s="111"/>
      <c r="I247" s="111"/>
      <c r="J247" s="111"/>
      <c r="K247" s="111"/>
      <c r="L247" s="111"/>
      <c r="M247" s="112"/>
    </row>
    <row r="248" spans="1:32" s="6" customFormat="1" ht="51.75" customHeight="1" x14ac:dyDescent="0.3">
      <c r="A248" s="33" t="s">
        <v>6</v>
      </c>
      <c r="B248" s="35" t="s">
        <v>142</v>
      </c>
      <c r="C248" s="94" t="s">
        <v>148</v>
      </c>
      <c r="D248" s="94"/>
      <c r="E248" s="94"/>
      <c r="F248" s="94"/>
      <c r="G248" s="94"/>
      <c r="H248" s="88" t="s">
        <v>570</v>
      </c>
      <c r="I248" s="89"/>
      <c r="J248" s="89"/>
      <c r="K248" s="89"/>
      <c r="L248" s="89"/>
      <c r="M248" s="90"/>
    </row>
    <row r="249" spans="1:32" s="6" customFormat="1" ht="45.75" customHeight="1" x14ac:dyDescent="0.3">
      <c r="A249" s="34" t="s">
        <v>51</v>
      </c>
      <c r="B249" s="35" t="s">
        <v>143</v>
      </c>
      <c r="C249" s="94" t="s">
        <v>183</v>
      </c>
      <c r="D249" s="94"/>
      <c r="E249" s="94"/>
      <c r="F249" s="94"/>
      <c r="G249" s="94"/>
      <c r="H249" s="88" t="s">
        <v>571</v>
      </c>
      <c r="I249" s="89"/>
      <c r="J249" s="89"/>
      <c r="K249" s="89"/>
      <c r="L249" s="89"/>
      <c r="M249" s="90"/>
    </row>
    <row r="250" spans="1:32" s="6" customFormat="1" ht="54.75" customHeight="1" x14ac:dyDescent="0.3">
      <c r="A250" s="34" t="s">
        <v>52</v>
      </c>
      <c r="B250" s="35" t="s">
        <v>144</v>
      </c>
      <c r="C250" s="94" t="s">
        <v>149</v>
      </c>
      <c r="D250" s="94"/>
      <c r="E250" s="94"/>
      <c r="F250" s="94"/>
      <c r="G250" s="94"/>
      <c r="H250" s="88" t="s">
        <v>572</v>
      </c>
      <c r="I250" s="89"/>
      <c r="J250" s="89"/>
      <c r="K250" s="89"/>
      <c r="L250" s="89"/>
      <c r="M250" s="90"/>
    </row>
    <row r="251" spans="1:32" s="6" customFormat="1" ht="54.75" customHeight="1" x14ac:dyDescent="0.3">
      <c r="A251" s="34" t="s">
        <v>53</v>
      </c>
      <c r="B251" s="35" t="s">
        <v>145</v>
      </c>
      <c r="C251" s="94" t="s">
        <v>150</v>
      </c>
      <c r="D251" s="94"/>
      <c r="E251" s="94"/>
      <c r="F251" s="94"/>
      <c r="G251" s="94"/>
      <c r="H251" s="88" t="s">
        <v>573</v>
      </c>
      <c r="I251" s="89"/>
      <c r="J251" s="89"/>
      <c r="K251" s="89"/>
      <c r="L251" s="89"/>
      <c r="M251" s="90"/>
    </row>
    <row r="252" spans="1:32" s="6" customFormat="1" ht="60.75" customHeight="1" x14ac:dyDescent="0.3">
      <c r="A252" s="34" t="s">
        <v>54</v>
      </c>
      <c r="B252" s="35" t="s">
        <v>146</v>
      </c>
      <c r="C252" s="94" t="s">
        <v>151</v>
      </c>
      <c r="D252" s="94"/>
      <c r="E252" s="94"/>
      <c r="F252" s="94"/>
      <c r="G252" s="94"/>
      <c r="H252" s="88" t="s">
        <v>574</v>
      </c>
      <c r="I252" s="89"/>
      <c r="J252" s="89"/>
      <c r="K252" s="89"/>
      <c r="L252" s="89"/>
      <c r="M252" s="90"/>
    </row>
    <row r="253" spans="1:32" s="6" customFormat="1" ht="48.75" customHeight="1" x14ac:dyDescent="0.3">
      <c r="A253" s="34" t="s">
        <v>55</v>
      </c>
      <c r="B253" s="35" t="s">
        <v>147</v>
      </c>
      <c r="C253" s="94" t="s">
        <v>152</v>
      </c>
      <c r="D253" s="94"/>
      <c r="E253" s="94"/>
      <c r="F253" s="94"/>
      <c r="G253" s="94"/>
      <c r="H253" s="88" t="s">
        <v>575</v>
      </c>
      <c r="I253" s="89"/>
      <c r="J253" s="89"/>
      <c r="K253" s="89"/>
      <c r="L253" s="89"/>
      <c r="M253" s="90"/>
    </row>
    <row r="254" spans="1:32" s="6" customFormat="1" ht="59.25" customHeight="1" x14ac:dyDescent="0.3">
      <c r="A254" s="33" t="s">
        <v>153</v>
      </c>
      <c r="B254" s="35" t="s">
        <v>158</v>
      </c>
      <c r="C254" s="94" t="s">
        <v>161</v>
      </c>
      <c r="D254" s="94"/>
      <c r="E254" s="94"/>
      <c r="F254" s="94"/>
      <c r="G254" s="94"/>
      <c r="H254" s="88" t="s">
        <v>576</v>
      </c>
      <c r="I254" s="89"/>
      <c r="J254" s="89"/>
      <c r="K254" s="89"/>
      <c r="L254" s="89"/>
      <c r="M254" s="90"/>
    </row>
    <row r="255" spans="1:32" s="6" customFormat="1" ht="59.25" customHeight="1" x14ac:dyDescent="0.3">
      <c r="A255" s="34" t="s">
        <v>154</v>
      </c>
      <c r="B255" s="35" t="s">
        <v>176</v>
      </c>
      <c r="C255" s="94" t="s">
        <v>152</v>
      </c>
      <c r="D255" s="94"/>
      <c r="E255" s="94"/>
      <c r="F255" s="94"/>
      <c r="G255" s="94"/>
      <c r="H255" s="88" t="s">
        <v>577</v>
      </c>
      <c r="I255" s="89"/>
      <c r="J255" s="89"/>
      <c r="K255" s="89"/>
      <c r="L255" s="89"/>
      <c r="M255" s="90"/>
    </row>
    <row r="256" spans="1:32" s="6" customFormat="1" ht="37.200000000000003" customHeight="1" x14ac:dyDescent="0.3">
      <c r="A256" s="34" t="s">
        <v>155</v>
      </c>
      <c r="B256" s="35" t="s">
        <v>159</v>
      </c>
      <c r="C256" s="94" t="s">
        <v>152</v>
      </c>
      <c r="D256" s="94"/>
      <c r="E256" s="94"/>
      <c r="F256" s="94"/>
      <c r="G256" s="94"/>
      <c r="H256" s="88" t="s">
        <v>592</v>
      </c>
      <c r="I256" s="89"/>
      <c r="J256" s="89"/>
      <c r="K256" s="89"/>
      <c r="L256" s="89"/>
      <c r="M256" s="90"/>
    </row>
    <row r="257" spans="1:250" s="6" customFormat="1" ht="37.200000000000003" customHeight="1" x14ac:dyDescent="0.3">
      <c r="A257" s="34" t="s">
        <v>156</v>
      </c>
      <c r="B257" s="35" t="s">
        <v>160</v>
      </c>
      <c r="C257" s="94" t="s">
        <v>152</v>
      </c>
      <c r="D257" s="94"/>
      <c r="E257" s="94"/>
      <c r="F257" s="94"/>
      <c r="G257" s="94"/>
      <c r="H257" s="91" t="s">
        <v>184</v>
      </c>
      <c r="I257" s="92"/>
      <c r="J257" s="92"/>
      <c r="K257" s="92"/>
      <c r="L257" s="92"/>
      <c r="M257" s="93"/>
    </row>
    <row r="258" spans="1:250" s="6" customFormat="1" ht="43.2" customHeight="1" x14ac:dyDescent="0.3">
      <c r="A258" s="34" t="s">
        <v>157</v>
      </c>
      <c r="B258" s="36" t="s">
        <v>177</v>
      </c>
      <c r="C258" s="94" t="s">
        <v>152</v>
      </c>
      <c r="D258" s="94"/>
      <c r="E258" s="94"/>
      <c r="F258" s="94"/>
      <c r="G258" s="94"/>
      <c r="H258" s="88" t="s">
        <v>589</v>
      </c>
      <c r="I258" s="89"/>
      <c r="J258" s="89"/>
      <c r="K258" s="89"/>
      <c r="L258" s="89"/>
      <c r="M258" s="90"/>
    </row>
    <row r="259" spans="1:250" s="6" customFormat="1" ht="28.2" customHeight="1" x14ac:dyDescent="0.3">
      <c r="A259" s="30" t="s">
        <v>12</v>
      </c>
      <c r="B259" s="98" t="s">
        <v>591</v>
      </c>
      <c r="C259" s="98"/>
      <c r="D259" s="98"/>
      <c r="E259" s="98"/>
      <c r="F259" s="98"/>
      <c r="G259" s="98"/>
      <c r="H259" s="98"/>
      <c r="I259" s="98"/>
      <c r="J259" s="98"/>
      <c r="K259" s="98"/>
      <c r="L259" s="98"/>
      <c r="M259" s="98"/>
    </row>
    <row r="260" spans="1:250" s="6" customFormat="1" ht="40.200000000000003" customHeight="1" x14ac:dyDescent="0.3">
      <c r="A260" s="33" t="s">
        <v>7</v>
      </c>
      <c r="B260" s="35" t="s">
        <v>142</v>
      </c>
      <c r="C260" s="94" t="s">
        <v>174</v>
      </c>
      <c r="D260" s="94"/>
      <c r="E260" s="94"/>
      <c r="F260" s="94"/>
      <c r="G260" s="94"/>
      <c r="H260" s="88" t="s">
        <v>578</v>
      </c>
      <c r="I260" s="89"/>
      <c r="J260" s="89"/>
      <c r="K260" s="89"/>
      <c r="L260" s="89"/>
      <c r="M260" s="90"/>
    </row>
    <row r="261" spans="1:250" s="6" customFormat="1" ht="38.25" customHeight="1" x14ac:dyDescent="0.3">
      <c r="A261" s="34" t="s">
        <v>162</v>
      </c>
      <c r="B261" s="35" t="s">
        <v>143</v>
      </c>
      <c r="C261" s="94" t="s">
        <v>183</v>
      </c>
      <c r="D261" s="94"/>
      <c r="E261" s="94"/>
      <c r="F261" s="94"/>
      <c r="G261" s="94"/>
      <c r="H261" s="88" t="s">
        <v>579</v>
      </c>
      <c r="I261" s="89"/>
      <c r="J261" s="89"/>
      <c r="K261" s="89"/>
      <c r="L261" s="89"/>
      <c r="M261" s="90"/>
    </row>
    <row r="262" spans="1:250" s="6" customFormat="1" ht="39" customHeight="1" x14ac:dyDescent="0.3">
      <c r="A262" s="34" t="s">
        <v>163</v>
      </c>
      <c r="B262" s="35" t="s">
        <v>144</v>
      </c>
      <c r="C262" s="94" t="s">
        <v>178</v>
      </c>
      <c r="D262" s="94"/>
      <c r="E262" s="94"/>
      <c r="F262" s="94"/>
      <c r="G262" s="94"/>
      <c r="H262" s="88" t="s">
        <v>580</v>
      </c>
      <c r="I262" s="89"/>
      <c r="J262" s="89"/>
      <c r="K262" s="89"/>
      <c r="L262" s="89"/>
      <c r="M262" s="90"/>
    </row>
    <row r="263" spans="1:250" s="6" customFormat="1" ht="60" customHeight="1" x14ac:dyDescent="0.3">
      <c r="A263" s="34" t="s">
        <v>164</v>
      </c>
      <c r="B263" s="35" t="s">
        <v>145</v>
      </c>
      <c r="C263" s="94" t="s">
        <v>150</v>
      </c>
      <c r="D263" s="94"/>
      <c r="E263" s="94"/>
      <c r="F263" s="94"/>
      <c r="G263" s="94"/>
      <c r="H263" s="88" t="s">
        <v>581</v>
      </c>
      <c r="I263" s="89"/>
      <c r="J263" s="89"/>
      <c r="K263" s="89"/>
      <c r="L263" s="89"/>
      <c r="M263" s="90"/>
    </row>
    <row r="264" spans="1:250" s="6" customFormat="1" ht="48.75" customHeight="1" x14ac:dyDescent="0.3">
      <c r="A264" s="34" t="s">
        <v>165</v>
      </c>
      <c r="B264" s="35" t="s">
        <v>173</v>
      </c>
      <c r="C264" s="94" t="s">
        <v>175</v>
      </c>
      <c r="D264" s="94"/>
      <c r="E264" s="94"/>
      <c r="F264" s="94"/>
      <c r="G264" s="94"/>
      <c r="H264" s="88" t="s">
        <v>582</v>
      </c>
      <c r="I264" s="89"/>
      <c r="J264" s="89"/>
      <c r="K264" s="89"/>
      <c r="L264" s="89"/>
      <c r="M264" s="90"/>
    </row>
    <row r="265" spans="1:250" s="6" customFormat="1" ht="38.25" customHeight="1" x14ac:dyDescent="0.3">
      <c r="A265" s="34" t="s">
        <v>166</v>
      </c>
      <c r="B265" s="35" t="s">
        <v>146</v>
      </c>
      <c r="C265" s="94" t="s">
        <v>151</v>
      </c>
      <c r="D265" s="94"/>
      <c r="E265" s="94"/>
      <c r="F265" s="94"/>
      <c r="G265" s="94"/>
      <c r="H265" s="88" t="s">
        <v>583</v>
      </c>
      <c r="I265" s="89"/>
      <c r="J265" s="89"/>
      <c r="K265" s="89"/>
      <c r="L265" s="89"/>
      <c r="M265" s="90"/>
    </row>
    <row r="266" spans="1:250" s="6" customFormat="1" ht="46.5" customHeight="1" x14ac:dyDescent="0.3">
      <c r="A266" s="33" t="s">
        <v>167</v>
      </c>
      <c r="B266" s="35" t="s">
        <v>147</v>
      </c>
      <c r="C266" s="94" t="s">
        <v>152</v>
      </c>
      <c r="D266" s="94"/>
      <c r="E266" s="94"/>
      <c r="F266" s="94"/>
      <c r="G266" s="94"/>
      <c r="H266" s="88" t="s">
        <v>584</v>
      </c>
      <c r="I266" s="89"/>
      <c r="J266" s="89"/>
      <c r="K266" s="89"/>
      <c r="L266" s="89"/>
      <c r="M266" s="90"/>
    </row>
    <row r="267" spans="1:250" s="6" customFormat="1" ht="69" customHeight="1" x14ac:dyDescent="0.3">
      <c r="A267" s="34" t="s">
        <v>168</v>
      </c>
      <c r="B267" s="35" t="s">
        <v>158</v>
      </c>
      <c r="C267" s="94" t="s">
        <v>161</v>
      </c>
      <c r="D267" s="94"/>
      <c r="E267" s="94"/>
      <c r="F267" s="94"/>
      <c r="G267" s="94"/>
      <c r="H267" s="88" t="s">
        <v>585</v>
      </c>
      <c r="I267" s="89"/>
      <c r="J267" s="89"/>
      <c r="K267" s="89"/>
      <c r="L267" s="89"/>
      <c r="M267" s="90"/>
    </row>
    <row r="268" spans="1:250" s="6" customFormat="1" ht="60.75" customHeight="1" x14ac:dyDescent="0.3">
      <c r="A268" s="34" t="s">
        <v>169</v>
      </c>
      <c r="B268" s="35" t="s">
        <v>176</v>
      </c>
      <c r="C268" s="94" t="s">
        <v>152</v>
      </c>
      <c r="D268" s="94"/>
      <c r="E268" s="94"/>
      <c r="F268" s="94"/>
      <c r="G268" s="94"/>
      <c r="H268" s="88" t="s">
        <v>586</v>
      </c>
      <c r="I268" s="89"/>
      <c r="J268" s="89"/>
      <c r="K268" s="89"/>
      <c r="L268" s="89"/>
      <c r="M268" s="90"/>
    </row>
    <row r="269" spans="1:250" s="6" customFormat="1" ht="34.950000000000003" customHeight="1" x14ac:dyDescent="0.3">
      <c r="A269" s="34" t="s">
        <v>170</v>
      </c>
      <c r="B269" s="35" t="s">
        <v>159</v>
      </c>
      <c r="C269" s="95" t="s">
        <v>152</v>
      </c>
      <c r="D269" s="96"/>
      <c r="E269" s="96"/>
      <c r="F269" s="96"/>
      <c r="G269" s="97"/>
      <c r="H269" s="88" t="s">
        <v>587</v>
      </c>
      <c r="I269" s="89"/>
      <c r="J269" s="89"/>
      <c r="K269" s="89"/>
      <c r="L269" s="89"/>
      <c r="M269" s="90"/>
    </row>
    <row r="270" spans="1:250" s="6" customFormat="1" ht="37.200000000000003" customHeight="1" x14ac:dyDescent="0.3">
      <c r="A270" s="34" t="s">
        <v>171</v>
      </c>
      <c r="B270" s="35" t="s">
        <v>160</v>
      </c>
      <c r="C270" s="94" t="s">
        <v>152</v>
      </c>
      <c r="D270" s="94"/>
      <c r="E270" s="94"/>
      <c r="F270" s="94"/>
      <c r="G270" s="94"/>
      <c r="H270" s="91" t="s">
        <v>184</v>
      </c>
      <c r="I270" s="92"/>
      <c r="J270" s="92"/>
      <c r="K270" s="92"/>
      <c r="L270" s="92"/>
      <c r="M270" s="93"/>
    </row>
    <row r="271" spans="1:250" s="6" customFormat="1" ht="42" customHeight="1" x14ac:dyDescent="0.3">
      <c r="A271" s="34" t="s">
        <v>172</v>
      </c>
      <c r="B271" s="35" t="s">
        <v>177</v>
      </c>
      <c r="C271" s="94" t="s">
        <v>152</v>
      </c>
      <c r="D271" s="94"/>
      <c r="E271" s="94"/>
      <c r="F271" s="94"/>
      <c r="G271" s="94"/>
      <c r="H271" s="88" t="s">
        <v>588</v>
      </c>
      <c r="I271" s="89"/>
      <c r="J271" s="89"/>
      <c r="K271" s="89"/>
      <c r="L271" s="89"/>
      <c r="M271" s="90"/>
    </row>
    <row r="272" spans="1:250" ht="24" customHeight="1" x14ac:dyDescent="0.3">
      <c r="A272" s="99" t="s">
        <v>60</v>
      </c>
      <c r="B272" s="100"/>
      <c r="C272" s="100"/>
      <c r="D272" s="100"/>
      <c r="E272" s="100"/>
      <c r="F272" s="100"/>
      <c r="G272" s="100"/>
      <c r="H272" s="100"/>
      <c r="I272" s="100"/>
      <c r="J272" s="100"/>
      <c r="K272" s="100"/>
      <c r="L272" s="100"/>
      <c r="M272" s="100"/>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c r="FC272" s="6"/>
      <c r="FD272" s="6"/>
      <c r="FE272" s="6"/>
      <c r="FF272" s="6"/>
      <c r="FG272" s="6"/>
      <c r="FH272" s="6"/>
      <c r="FI272" s="6"/>
      <c r="FJ272" s="6"/>
      <c r="FK272" s="6"/>
      <c r="FL272" s="6"/>
      <c r="FM272" s="6"/>
      <c r="FN272" s="6"/>
      <c r="FO272" s="6"/>
      <c r="FP272" s="6"/>
      <c r="FQ272" s="6"/>
      <c r="FR272" s="6"/>
      <c r="FS272" s="6"/>
      <c r="FT272" s="6"/>
      <c r="FU272" s="6"/>
      <c r="FV272" s="6"/>
      <c r="FW272" s="6"/>
      <c r="FX272" s="6"/>
      <c r="FY272" s="6"/>
      <c r="FZ272" s="6"/>
      <c r="GA272" s="6"/>
      <c r="GB272" s="6"/>
      <c r="GC272" s="6"/>
      <c r="GD272" s="6"/>
      <c r="GE272" s="6"/>
      <c r="GF272" s="6"/>
      <c r="GG272" s="6"/>
      <c r="GH272" s="6"/>
      <c r="GI272" s="6"/>
      <c r="GJ272" s="6"/>
      <c r="GK272" s="6"/>
      <c r="GL272" s="6"/>
      <c r="GM272" s="6"/>
      <c r="GN272" s="6"/>
      <c r="GO272" s="6"/>
      <c r="GP272" s="6"/>
      <c r="GQ272" s="6"/>
      <c r="GR272" s="6"/>
      <c r="GS272" s="6"/>
      <c r="GT272" s="6"/>
      <c r="GU272" s="6"/>
      <c r="GV272" s="6"/>
      <c r="GW272" s="6"/>
      <c r="GX272" s="6"/>
      <c r="GY272" s="6"/>
      <c r="GZ272" s="6"/>
      <c r="HA272" s="6"/>
      <c r="HB272" s="6"/>
      <c r="HC272" s="6"/>
      <c r="HD272" s="6"/>
      <c r="HE272" s="6"/>
      <c r="HF272" s="6"/>
      <c r="HG272" s="6"/>
      <c r="HH272" s="6"/>
      <c r="HI272" s="6"/>
      <c r="HJ272" s="6"/>
      <c r="HK272" s="6"/>
      <c r="HL272" s="6"/>
      <c r="HM272" s="6"/>
      <c r="HN272" s="6"/>
      <c r="HO272" s="6"/>
      <c r="HP272" s="6"/>
      <c r="HQ272" s="6"/>
      <c r="HR272" s="6"/>
      <c r="HS272" s="6"/>
      <c r="HT272" s="6"/>
      <c r="HU272" s="6"/>
      <c r="HV272" s="6"/>
      <c r="HW272" s="6"/>
      <c r="HX272" s="6"/>
      <c r="HY272" s="6"/>
      <c r="HZ272" s="6"/>
      <c r="IA272" s="6"/>
      <c r="IB272" s="6"/>
      <c r="IC272" s="6"/>
      <c r="ID272" s="6"/>
      <c r="IE272" s="6"/>
      <c r="IF272" s="6"/>
      <c r="IG272" s="6"/>
      <c r="IH272" s="6"/>
      <c r="II272" s="6"/>
      <c r="IJ272" s="6"/>
      <c r="IK272" s="6"/>
      <c r="IL272" s="6"/>
      <c r="IM272" s="6"/>
      <c r="IN272" s="6"/>
      <c r="IO272" s="6"/>
      <c r="IP272" s="6"/>
    </row>
    <row r="273" spans="1:250" x14ac:dyDescent="0.3">
      <c r="A273" s="100"/>
      <c r="B273" s="100"/>
      <c r="C273" s="100"/>
      <c r="D273" s="100"/>
      <c r="E273" s="100"/>
      <c r="F273" s="100"/>
      <c r="G273" s="100"/>
      <c r="H273" s="100"/>
      <c r="I273" s="100"/>
      <c r="J273" s="100"/>
      <c r="K273" s="100"/>
      <c r="L273" s="100"/>
      <c r="M273" s="100"/>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c r="DO273" s="6"/>
      <c r="DP273" s="6"/>
      <c r="DQ273" s="6"/>
      <c r="DR273" s="6"/>
      <c r="DS273" s="6"/>
      <c r="DT273" s="6"/>
      <c r="DU273" s="6"/>
      <c r="DV273" s="6"/>
      <c r="DW273" s="6"/>
      <c r="DX273" s="6"/>
      <c r="DY273" s="6"/>
      <c r="DZ273" s="6"/>
      <c r="EA273" s="6"/>
      <c r="EB273" s="6"/>
      <c r="EC273" s="6"/>
      <c r="ED273" s="6"/>
      <c r="EE273" s="6"/>
      <c r="EF273" s="6"/>
      <c r="EG273" s="6"/>
      <c r="EH273" s="6"/>
      <c r="EI273" s="6"/>
      <c r="EJ273" s="6"/>
      <c r="EK273" s="6"/>
      <c r="EL273" s="6"/>
      <c r="EM273" s="6"/>
      <c r="EN273" s="6"/>
      <c r="EO273" s="6"/>
      <c r="EP273" s="6"/>
      <c r="EQ273" s="6"/>
      <c r="ER273" s="6"/>
      <c r="ES273" s="6"/>
      <c r="ET273" s="6"/>
      <c r="EU273" s="6"/>
      <c r="EV273" s="6"/>
      <c r="EW273" s="6"/>
      <c r="EX273" s="6"/>
      <c r="EY273" s="6"/>
      <c r="EZ273" s="6"/>
      <c r="FA273" s="6"/>
      <c r="FB273" s="6"/>
      <c r="FC273" s="6"/>
      <c r="FD273" s="6"/>
      <c r="FE273" s="6"/>
      <c r="FF273" s="6"/>
      <c r="FG273" s="6"/>
      <c r="FH273" s="6"/>
      <c r="FI273" s="6"/>
      <c r="FJ273" s="6"/>
      <c r="FK273" s="6"/>
      <c r="FL273" s="6"/>
      <c r="FM273" s="6"/>
      <c r="FN273" s="6"/>
      <c r="FO273" s="6"/>
      <c r="FP273" s="6"/>
      <c r="FQ273" s="6"/>
      <c r="FR273" s="6"/>
      <c r="FS273" s="6"/>
      <c r="FT273" s="6"/>
      <c r="FU273" s="6"/>
      <c r="FV273" s="6"/>
      <c r="FW273" s="6"/>
      <c r="FX273" s="6"/>
      <c r="FY273" s="6"/>
      <c r="FZ273" s="6"/>
      <c r="GA273" s="6"/>
      <c r="GB273" s="6"/>
      <c r="GC273" s="6"/>
      <c r="GD273" s="6"/>
      <c r="GE273" s="6"/>
      <c r="GF273" s="6"/>
      <c r="GG273" s="6"/>
      <c r="GH273" s="6"/>
      <c r="GI273" s="6"/>
      <c r="GJ273" s="6"/>
      <c r="GK273" s="6"/>
      <c r="GL273" s="6"/>
      <c r="GM273" s="6"/>
      <c r="GN273" s="6"/>
      <c r="GO273" s="6"/>
      <c r="GP273" s="6"/>
      <c r="GQ273" s="6"/>
      <c r="GR273" s="6"/>
      <c r="GS273" s="6"/>
      <c r="GT273" s="6"/>
      <c r="GU273" s="6"/>
      <c r="GV273" s="6"/>
      <c r="GW273" s="6"/>
      <c r="GX273" s="6"/>
      <c r="GY273" s="6"/>
      <c r="GZ273" s="6"/>
      <c r="HA273" s="6"/>
      <c r="HB273" s="6"/>
      <c r="HC273" s="6"/>
      <c r="HD273" s="6"/>
      <c r="HE273" s="6"/>
      <c r="HF273" s="6"/>
      <c r="HG273" s="6"/>
      <c r="HH273" s="6"/>
      <c r="HI273" s="6"/>
      <c r="HJ273" s="6"/>
      <c r="HK273" s="6"/>
      <c r="HL273" s="6"/>
      <c r="HM273" s="6"/>
      <c r="HN273" s="6"/>
      <c r="HO273" s="6"/>
      <c r="HP273" s="6"/>
      <c r="HQ273" s="6"/>
      <c r="HR273" s="6"/>
      <c r="HS273" s="6"/>
      <c r="HT273" s="6"/>
      <c r="HU273" s="6"/>
      <c r="HV273" s="6"/>
      <c r="HW273" s="6"/>
      <c r="HX273" s="6"/>
      <c r="HY273" s="6"/>
      <c r="HZ273" s="6"/>
      <c r="IA273" s="6"/>
      <c r="IB273" s="6"/>
      <c r="IC273" s="6"/>
      <c r="ID273" s="6"/>
      <c r="IE273" s="6"/>
      <c r="IF273" s="6"/>
      <c r="IG273" s="6"/>
      <c r="IH273" s="6"/>
      <c r="II273" s="6"/>
      <c r="IJ273" s="6"/>
      <c r="IK273" s="6"/>
      <c r="IL273" s="6"/>
      <c r="IM273" s="6"/>
      <c r="IN273" s="6"/>
      <c r="IO273" s="6"/>
      <c r="IP273" s="6"/>
    </row>
    <row r="274" spans="1:250" x14ac:dyDescent="0.3">
      <c r="A274" s="100"/>
      <c r="B274" s="100"/>
      <c r="C274" s="100"/>
      <c r="D274" s="100"/>
      <c r="E274" s="100"/>
      <c r="F274" s="100"/>
      <c r="G274" s="100"/>
      <c r="H274" s="100"/>
      <c r="I274" s="100"/>
      <c r="J274" s="100"/>
      <c r="K274" s="100"/>
      <c r="L274" s="100"/>
      <c r="M274" s="100"/>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c r="FC274" s="6"/>
      <c r="FD274" s="6"/>
      <c r="FE274" s="6"/>
      <c r="FF274" s="6"/>
      <c r="FG274" s="6"/>
      <c r="FH274" s="6"/>
      <c r="FI274" s="6"/>
      <c r="FJ274" s="6"/>
      <c r="FK274" s="6"/>
      <c r="FL274" s="6"/>
      <c r="FM274" s="6"/>
      <c r="FN274" s="6"/>
      <c r="FO274" s="6"/>
      <c r="FP274" s="6"/>
      <c r="FQ274" s="6"/>
      <c r="FR274" s="6"/>
      <c r="FS274" s="6"/>
      <c r="FT274" s="6"/>
      <c r="FU274" s="6"/>
      <c r="FV274" s="6"/>
      <c r="FW274" s="6"/>
      <c r="FX274" s="6"/>
      <c r="FY274" s="6"/>
      <c r="FZ274" s="6"/>
      <c r="GA274" s="6"/>
      <c r="GB274" s="6"/>
      <c r="GC274" s="6"/>
      <c r="GD274" s="6"/>
      <c r="GE274" s="6"/>
      <c r="GF274" s="6"/>
      <c r="GG274" s="6"/>
      <c r="GH274" s="6"/>
      <c r="GI274" s="6"/>
      <c r="GJ274" s="6"/>
      <c r="GK274" s="6"/>
      <c r="GL274" s="6"/>
      <c r="GM274" s="6"/>
      <c r="GN274" s="6"/>
      <c r="GO274" s="6"/>
      <c r="GP274" s="6"/>
      <c r="GQ274" s="6"/>
      <c r="GR274" s="6"/>
      <c r="GS274" s="6"/>
      <c r="GT274" s="6"/>
      <c r="GU274" s="6"/>
      <c r="GV274" s="6"/>
      <c r="GW274" s="6"/>
      <c r="GX274" s="6"/>
      <c r="GY274" s="6"/>
      <c r="GZ274" s="6"/>
      <c r="HA274" s="6"/>
      <c r="HB274" s="6"/>
      <c r="HC274" s="6"/>
      <c r="HD274" s="6"/>
      <c r="HE274" s="6"/>
      <c r="HF274" s="6"/>
      <c r="HG274" s="6"/>
      <c r="HH274" s="6"/>
      <c r="HI274" s="6"/>
      <c r="HJ274" s="6"/>
      <c r="HK274" s="6"/>
      <c r="HL274" s="6"/>
      <c r="HM274" s="6"/>
      <c r="HN274" s="6"/>
      <c r="HO274" s="6"/>
      <c r="HP274" s="6"/>
      <c r="HQ274" s="6"/>
      <c r="HR274" s="6"/>
      <c r="HS274" s="6"/>
      <c r="HT274" s="6"/>
      <c r="HU274" s="6"/>
      <c r="HV274" s="6"/>
      <c r="HW274" s="6"/>
      <c r="HX274" s="6"/>
      <c r="HY274" s="6"/>
      <c r="HZ274" s="6"/>
      <c r="IA274" s="6"/>
      <c r="IB274" s="6"/>
      <c r="IC274" s="6"/>
      <c r="ID274" s="6"/>
      <c r="IE274" s="6"/>
      <c r="IF274" s="6"/>
      <c r="IG274" s="6"/>
      <c r="IH274" s="6"/>
      <c r="II274" s="6"/>
      <c r="IJ274" s="6"/>
      <c r="IK274" s="6"/>
      <c r="IL274" s="6"/>
      <c r="IM274" s="6"/>
      <c r="IN274" s="6"/>
      <c r="IO274" s="6"/>
      <c r="IP274" s="6"/>
    </row>
    <row r="275" spans="1:250" ht="46.2" customHeight="1" x14ac:dyDescent="0.3">
      <c r="A275" s="100"/>
      <c r="B275" s="100"/>
      <c r="C275" s="100"/>
      <c r="D275" s="100"/>
      <c r="E275" s="100"/>
      <c r="F275" s="100"/>
      <c r="G275" s="100"/>
      <c r="H275" s="100"/>
      <c r="I275" s="100"/>
      <c r="J275" s="100"/>
      <c r="K275" s="100"/>
      <c r="L275" s="100"/>
      <c r="M275" s="100"/>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c r="FC275" s="6"/>
      <c r="FD275" s="6"/>
      <c r="FE275" s="6"/>
      <c r="FF275" s="6"/>
      <c r="FG275" s="6"/>
      <c r="FH275" s="6"/>
      <c r="FI275" s="6"/>
      <c r="FJ275" s="6"/>
      <c r="FK275" s="6"/>
      <c r="FL275" s="6"/>
      <c r="FM275" s="6"/>
      <c r="FN275" s="6"/>
      <c r="FO275" s="6"/>
      <c r="FP275" s="6"/>
      <c r="FQ275" s="6"/>
      <c r="FR275" s="6"/>
      <c r="FS275" s="6"/>
      <c r="FT275" s="6"/>
      <c r="FU275" s="6"/>
      <c r="FV275" s="6"/>
      <c r="FW275" s="6"/>
      <c r="FX275" s="6"/>
      <c r="FY275" s="6"/>
      <c r="FZ275" s="6"/>
      <c r="GA275" s="6"/>
      <c r="GB275" s="6"/>
      <c r="GC275" s="6"/>
      <c r="GD275" s="6"/>
      <c r="GE275" s="6"/>
      <c r="GF275" s="6"/>
      <c r="GG275" s="6"/>
      <c r="GH275" s="6"/>
      <c r="GI275" s="6"/>
      <c r="GJ275" s="6"/>
      <c r="GK275" s="6"/>
      <c r="GL275" s="6"/>
      <c r="GM275" s="6"/>
      <c r="GN275" s="6"/>
      <c r="GO275" s="6"/>
      <c r="GP275" s="6"/>
      <c r="GQ275" s="6"/>
      <c r="GR275" s="6"/>
      <c r="GS275" s="6"/>
      <c r="GT275" s="6"/>
      <c r="GU275" s="6"/>
      <c r="GV275" s="6"/>
      <c r="GW275" s="6"/>
      <c r="GX275" s="6"/>
      <c r="GY275" s="6"/>
      <c r="GZ275" s="6"/>
      <c r="HA275" s="6"/>
      <c r="HB275" s="6"/>
      <c r="HC275" s="6"/>
      <c r="HD275" s="6"/>
      <c r="HE275" s="6"/>
      <c r="HF275" s="6"/>
      <c r="HG275" s="6"/>
      <c r="HH275" s="6"/>
      <c r="HI275" s="6"/>
      <c r="HJ275" s="6"/>
      <c r="HK275" s="6"/>
      <c r="HL275" s="6"/>
      <c r="HM275" s="6"/>
      <c r="HN275" s="6"/>
      <c r="HO275" s="6"/>
      <c r="HP275" s="6"/>
      <c r="HQ275" s="6"/>
      <c r="HR275" s="6"/>
      <c r="HS275" s="6"/>
      <c r="HT275" s="6"/>
      <c r="HU275" s="6"/>
      <c r="HV275" s="6"/>
      <c r="HW275" s="6"/>
      <c r="HX275" s="6"/>
      <c r="HY275" s="6"/>
      <c r="HZ275" s="6"/>
      <c r="IA275" s="6"/>
      <c r="IB275" s="6"/>
      <c r="IC275" s="6"/>
      <c r="ID275" s="6"/>
      <c r="IE275" s="6"/>
      <c r="IF275" s="6"/>
      <c r="IG275" s="6"/>
      <c r="IH275" s="6"/>
      <c r="II275" s="6"/>
      <c r="IJ275" s="6"/>
      <c r="IK275" s="6"/>
      <c r="IL275" s="6"/>
      <c r="IM275" s="6"/>
      <c r="IN275" s="6"/>
      <c r="IO275" s="6"/>
      <c r="IP275" s="6"/>
    </row>
  </sheetData>
  <mergeCells count="60">
    <mergeCell ref="C246:G246"/>
    <mergeCell ref="H246:M246"/>
    <mergeCell ref="C249:G249"/>
    <mergeCell ref="C250:G250"/>
    <mergeCell ref="H249:M249"/>
    <mergeCell ref="H250:M250"/>
    <mergeCell ref="H248:M248"/>
    <mergeCell ref="C253:G253"/>
    <mergeCell ref="H251:M251"/>
    <mergeCell ref="H252:M252"/>
    <mergeCell ref="H253:M253"/>
    <mergeCell ref="C248:G248"/>
    <mergeCell ref="A272:M275"/>
    <mergeCell ref="A5:D5"/>
    <mergeCell ref="E5:I5"/>
    <mergeCell ref="A9:Q9"/>
    <mergeCell ref="A235:D235"/>
    <mergeCell ref="A236:D236"/>
    <mergeCell ref="A237:D237"/>
    <mergeCell ref="A239:Q244"/>
    <mergeCell ref="A7:K7"/>
    <mergeCell ref="B247:M247"/>
    <mergeCell ref="A245:M245"/>
    <mergeCell ref="C254:G254"/>
    <mergeCell ref="C255:G255"/>
    <mergeCell ref="H255:M255"/>
    <mergeCell ref="C251:G251"/>
    <mergeCell ref="C252:G252"/>
    <mergeCell ref="H262:M262"/>
    <mergeCell ref="C256:G256"/>
    <mergeCell ref="H256:M256"/>
    <mergeCell ref="C257:G257"/>
    <mergeCell ref="H258:M258"/>
    <mergeCell ref="B259:M259"/>
    <mergeCell ref="C258:G258"/>
    <mergeCell ref="C271:G271"/>
    <mergeCell ref="H271:M271"/>
    <mergeCell ref="C269:G269"/>
    <mergeCell ref="H269:M269"/>
    <mergeCell ref="C266:G266"/>
    <mergeCell ref="C267:G267"/>
    <mergeCell ref="H267:M267"/>
    <mergeCell ref="C268:G268"/>
    <mergeCell ref="H268:M268"/>
    <mergeCell ref="H254:M254"/>
    <mergeCell ref="H260:M260"/>
    <mergeCell ref="H266:M266"/>
    <mergeCell ref="H257:M257"/>
    <mergeCell ref="C270:G270"/>
    <mergeCell ref="H270:M270"/>
    <mergeCell ref="C263:G263"/>
    <mergeCell ref="H263:M263"/>
    <mergeCell ref="C264:G264"/>
    <mergeCell ref="H264:M264"/>
    <mergeCell ref="C265:G265"/>
    <mergeCell ref="H265:M265"/>
    <mergeCell ref="C260:G260"/>
    <mergeCell ref="C261:G261"/>
    <mergeCell ref="H261:M261"/>
    <mergeCell ref="C262:G262"/>
  </mergeCells>
  <pageMargins left="0.7" right="0.7" top="0.75" bottom="0.75" header="0.3" footer="0.3"/>
  <pageSetup orientation="landscape" r:id="rId1"/>
  <ignoredErrors>
    <ignoredError sqref="A1:XFD6 R107:S107 H115:Q115 C102:G102 C109:G109 C116:G116 C123:G123 A135:G135 C137:G137 H142:XFD142 C143:G143 R135:S135 C149:G149 W146:XFD146 C155:G155 C161:G161 R172:S172 C167:G167 W172:XFD172 C174:G174 C181:G181 R185:S185 A198:C198 C37:G37 A42:C42 C43:G43 A48 C49:G49 A54:C54 C55:G55 A61:C61 A67:C67 A73:C73 C74:G74 A78:C78 C79:F79 A83:C83 C84:G84 A89:C89 C90:G90 A95:C95 A108 A115 A122 A129 A136 A142 A148 A154 A160 A166 A173 A180 A186 A192 A204 A219 C48 A240:XFD245 B239:XFD239 A272:XFD1048576 C247:XFD247 N248:XFD253 A246:B246 N246:XFD246 A247:A253 A259 A226:XFD226 A221 A18:C18 A13 A19 A12:C12 H12:XFD12 C16:G16 R14:T14 R16:T16 A30:C30 R21:T22 C21:G22 A24:C24 C27:G28 A25 W25:XFD25 R27:T28 A36:C36 A31 W31:XFD31 R33:T34 C33:G34 W43:XFD43 C45:G46 R45:T46 R39:T40 W37:XFD37 C39:G40 W49:XFD49 C51:G52 R51:T52 W13 A11:XFD11 A10:Q10 Y10:XFD10 C58:G59 W55:XFD55 R58:T59 C62:G63 C65:G65 R63:T63 R65:T65 C71:G71 C68:G69 R71:T71 R69:T69 C76:G77 R77:S77 W74:XFD74 C81:G81 B82:G82 W79:XFD79 R81:T81 R86:T87 W84:XFD84 C86:G87 W90:XFD90 R92:T93 C92:G93 W14:XFD14 W16:XFD16 W18:XFD19 A8:XFD9 B7:XFD7 W21:XFD22 W27:XFD28 A101 C99:G99 R97:T97 R99:T99 C96:G97 W102:XFD102 C101 A107:G107 C106:G106 Y13:XFD13 R106:T106 W106:XFD107 H101:XFD101 C108 W109:XFD109 R112:T113 C112:G113 W116:XFD116 R118:T118 C118:G118 W112:XFD113 W118:XFD118 W123:XFD123 R127:T127 R82:S82 W127:XFD127 C127:G127 R131:T131 C130:G131 W130:XFD131 W137:XFD137 R140:T140 C140:G140 W140:XFD140 W135:XFD135 W143:XFD143 R146:T146 C146:G146 W149:XFD149 C152:G152 R152:T152 W155:XFD155 R158:T158 C158:G158 W161:XFD161 R164:T164 C164:G164 W167:XFD167 W174:XFD174 A179:G179 R179:S179 W181:XFD181 C13:G14 C19:G19 C25:G25 C31:G31 A236:E236 C234:G234 W152:XFD152 W158:XFD158 W164:XFD164 W33:XFD34 W39:XFD40 W45:XFD46 W51:XFD52 W58:XFD59 W62:XFD63 W65:XFD65 W71:XFD71 W68:XFD69 R76:T76 W81:XFD82 W86:XFD87 W92:XFD93 W96:XFD97 W99:XFD99 H18:T18 H24:XFD24 H30:XFD30 A172:G172 A185:G185 H36:XFD36 H42:XFD42 H48:XFD48 H54:XFD54 H61:XFD61 H67:XFD67 H73:XFD73 H78:XFD78 H83:XFD83 H89:XFD89 H95:XFD95 W76:XFD77 H108:XFD108 H122:XFD122 H129:XFD129 H136:XFD136 H148:XFD148 H154:XFD154 H160:XFD160 H166:XFD166 H173:XFD173 H180:XFD180 H198:XFD198 W179:XFD179 W185:XFD185 S115:XFD115 R234:XFD234 A238:I238 K238:XFD238 A235:D235 F235:S235 A237:F237 H237:XFD237 G236:XFD236 W235:XFD2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Akvilė Lodaitė</cp:lastModifiedBy>
  <dcterms:created xsi:type="dcterms:W3CDTF">2020-07-30T11:24:43Z</dcterms:created>
  <dcterms:modified xsi:type="dcterms:W3CDTF">2023-07-11T13:19:21Z</dcterms:modified>
</cp:coreProperties>
</file>